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345" windowWidth="14805" windowHeight="7350" activeTab="7"/>
  </bookViews>
  <sheets>
    <sheet name="Chart1" sheetId="4" r:id="rId1"/>
    <sheet name="Chart2" sheetId="5" r:id="rId2"/>
    <sheet name="Chart3" sheetId="6" r:id="rId3"/>
    <sheet name="Chart4" sheetId="7" r:id="rId4"/>
    <sheet name="Chart5" sheetId="8" r:id="rId5"/>
    <sheet name="Chart6" sheetId="9" r:id="rId6"/>
    <sheet name="Chart7" sheetId="10" r:id="rId7"/>
    <sheet name="Sheet1" sheetId="1" r:id="rId8"/>
    <sheet name="Sheet2" sheetId="2" r:id="rId9"/>
    <sheet name="Sheet3" sheetId="3" r:id="rId10"/>
  </sheets>
  <calcPr calcId="145621"/>
</workbook>
</file>

<file path=xl/calcChain.xml><?xml version="1.0" encoding="utf-8"?>
<calcChain xmlns="http://schemas.openxmlformats.org/spreadsheetml/2006/main">
  <c r="N29" i="1" l="1"/>
  <c r="P31" i="1" l="1"/>
  <c r="X12" i="1" l="1"/>
  <c r="X11" i="1"/>
  <c r="X15" i="1"/>
  <c r="X14" i="1"/>
  <c r="X13" i="1"/>
  <c r="X10" i="1"/>
  <c r="X9" i="1"/>
  <c r="X8" i="1"/>
  <c r="X7" i="1"/>
  <c r="X6" i="1"/>
  <c r="X5" i="1"/>
  <c r="R34" i="2" l="1"/>
  <c r="R4" i="2"/>
  <c r="R5" i="2"/>
  <c r="R6" i="2"/>
  <c r="R8" i="2"/>
  <c r="R9" i="2"/>
  <c r="R10" i="2"/>
  <c r="R11" i="2"/>
  <c r="R12" i="2"/>
  <c r="R13" i="2"/>
  <c r="R14" i="2"/>
  <c r="R15" i="2"/>
  <c r="R16" i="2"/>
  <c r="R17" i="2"/>
  <c r="R18" i="2"/>
  <c r="R19" i="2"/>
  <c r="R20" i="2"/>
  <c r="R3" i="2"/>
  <c r="M4" i="1" l="1"/>
  <c r="M6" i="1"/>
  <c r="M8" i="1"/>
  <c r="M10" i="1"/>
  <c r="M12" i="1"/>
  <c r="M2" i="1"/>
  <c r="I31" i="1"/>
  <c r="M31" i="1" s="1"/>
  <c r="I15" i="1" l="1"/>
  <c r="M15" i="1" s="1"/>
  <c r="I16" i="1"/>
  <c r="M16" i="1" s="1"/>
  <c r="I17" i="1"/>
  <c r="M17" i="1" s="1"/>
  <c r="I18" i="1"/>
  <c r="M18" i="1" s="1"/>
  <c r="I19" i="1"/>
  <c r="M19" i="1" s="1"/>
  <c r="I20" i="1"/>
  <c r="M20" i="1" s="1"/>
  <c r="I21" i="1"/>
  <c r="M21" i="1" s="1"/>
  <c r="I22" i="1"/>
  <c r="M22" i="1" s="1"/>
  <c r="I23" i="1"/>
  <c r="M23" i="1" s="1"/>
  <c r="I24" i="1"/>
  <c r="M24" i="1" s="1"/>
  <c r="I25" i="1"/>
  <c r="M25" i="1" s="1"/>
  <c r="I26" i="1"/>
  <c r="M26" i="1" s="1"/>
  <c r="I27" i="1"/>
  <c r="M27" i="1" s="1"/>
  <c r="I28" i="1"/>
  <c r="M28" i="1" s="1"/>
  <c r="I29" i="1"/>
  <c r="M29" i="1" s="1"/>
  <c r="I14" i="1"/>
  <c r="M14" i="1" s="1"/>
  <c r="Q29" i="1" l="1"/>
  <c r="Q28" i="1"/>
  <c r="Q27" i="1"/>
  <c r="Q26" i="1"/>
  <c r="Q25" i="1"/>
  <c r="Q24" i="1"/>
  <c r="Y34" i="1" l="1"/>
  <c r="C36" i="2" l="1"/>
  <c r="C37" i="2"/>
  <c r="Y49" i="1" l="1"/>
  <c r="N17" i="1" l="1"/>
  <c r="E4" i="2" l="1"/>
  <c r="E5" i="2"/>
  <c r="E6" i="2"/>
  <c r="E7" i="2"/>
  <c r="E8" i="2"/>
  <c r="E9" i="2"/>
  <c r="E10" i="2"/>
  <c r="E11" i="2"/>
  <c r="E12" i="2"/>
  <c r="E13" i="2"/>
  <c r="E14" i="2"/>
  <c r="E15" i="2"/>
  <c r="E16" i="2"/>
  <c r="E17" i="2"/>
  <c r="E18" i="2"/>
  <c r="E19" i="2"/>
  <c r="E20" i="2"/>
  <c r="E3" i="2"/>
  <c r="J4" i="2"/>
  <c r="J5" i="2"/>
  <c r="J6" i="2"/>
  <c r="J7" i="2"/>
  <c r="J8" i="2"/>
  <c r="J9" i="2"/>
  <c r="J11" i="2"/>
  <c r="J12" i="2"/>
  <c r="J13" i="2"/>
  <c r="J14" i="2"/>
  <c r="J15" i="2"/>
  <c r="J17" i="2"/>
  <c r="J18" i="2"/>
  <c r="J19" i="2"/>
  <c r="J3" i="2"/>
  <c r="O4" i="2"/>
  <c r="O5" i="2"/>
  <c r="O6" i="2"/>
  <c r="O8" i="2"/>
  <c r="O9" i="2"/>
  <c r="O10" i="2"/>
  <c r="O11" i="2"/>
  <c r="O12" i="2"/>
  <c r="O13" i="2"/>
  <c r="O15" i="2"/>
  <c r="O16" i="2"/>
  <c r="O17" i="2"/>
  <c r="O18" i="2"/>
  <c r="O19" i="2"/>
  <c r="O20" i="2"/>
  <c r="O3" i="2"/>
  <c r="N4" i="2"/>
  <c r="N5" i="2"/>
  <c r="N6" i="2"/>
  <c r="N7" i="2"/>
  <c r="N8" i="2"/>
  <c r="N9" i="2"/>
  <c r="N10" i="2"/>
  <c r="N11" i="2"/>
  <c r="N12" i="2"/>
  <c r="N13" i="2"/>
  <c r="N14" i="2"/>
  <c r="N15" i="2"/>
  <c r="N16" i="2"/>
  <c r="N17" i="2"/>
  <c r="N18" i="2"/>
  <c r="N19" i="2"/>
  <c r="N20" i="2"/>
  <c r="N3" i="2"/>
  <c r="T5" i="1"/>
  <c r="N2" i="1"/>
  <c r="U5" i="1" s="1"/>
  <c r="T6" i="1"/>
  <c r="N4" i="1"/>
  <c r="U6" i="1"/>
  <c r="AC45" i="1"/>
  <c r="AB44" i="1"/>
  <c r="AC44" i="1"/>
  <c r="X48" i="1"/>
  <c r="Y48" i="1"/>
  <c r="AG25" i="1"/>
  <c r="AG17" i="1"/>
  <c r="AG10" i="1"/>
  <c r="AM8" i="1"/>
  <c r="AM16" i="1" s="1"/>
  <c r="AM24" i="1"/>
  <c r="L15" i="1"/>
  <c r="L16" i="1"/>
  <c r="L17" i="1"/>
  <c r="L18" i="1"/>
  <c r="L19" i="1"/>
  <c r="L20" i="1"/>
  <c r="L21" i="1"/>
  <c r="L22" i="1"/>
  <c r="L23" i="1"/>
  <c r="L24" i="1"/>
  <c r="L25" i="1"/>
  <c r="L26" i="1"/>
  <c r="L27" i="1"/>
  <c r="L28" i="1"/>
  <c r="L29" i="1"/>
  <c r="L31" i="1"/>
  <c r="L14" i="1"/>
  <c r="AA26" i="1"/>
  <c r="AA31" i="1" s="1"/>
  <c r="Z25" i="1"/>
  <c r="AA25" i="1"/>
  <c r="X30" i="1"/>
  <c r="W29" i="1"/>
  <c r="X29" i="1"/>
  <c r="P36" i="2"/>
  <c r="P37" i="2"/>
  <c r="R37" i="2" s="1"/>
  <c r="P33" i="2"/>
  <c r="C34" i="2"/>
  <c r="H34" i="2"/>
  <c r="P34" i="2"/>
  <c r="C31" i="2"/>
  <c r="P31" i="2"/>
  <c r="P30" i="2"/>
  <c r="R31" i="2"/>
  <c r="P28" i="2"/>
  <c r="C27" i="2"/>
  <c r="P27" i="2"/>
  <c r="R28" i="2"/>
  <c r="P25" i="2"/>
  <c r="P24" i="2"/>
  <c r="R25" i="2"/>
  <c r="M24" i="2"/>
  <c r="M25" i="2"/>
  <c r="M27" i="2"/>
  <c r="M28" i="2"/>
  <c r="M30" i="2"/>
  <c r="M31" i="2"/>
  <c r="M33" i="2"/>
  <c r="M34" i="2"/>
  <c r="M36" i="2"/>
  <c r="M37" i="2"/>
  <c r="M4" i="2"/>
  <c r="M5" i="2"/>
  <c r="C7" i="2"/>
  <c r="M7" i="2"/>
  <c r="C11" i="2"/>
  <c r="H11" i="2"/>
  <c r="M11" i="2"/>
  <c r="C6" i="2"/>
  <c r="M6" i="2"/>
  <c r="C9" i="2"/>
  <c r="H9" i="2"/>
  <c r="M9" i="2"/>
  <c r="C8" i="2"/>
  <c r="M8" i="2"/>
  <c r="M10" i="2"/>
  <c r="M12" i="2"/>
  <c r="C13" i="2"/>
  <c r="M13" i="2"/>
  <c r="C15" i="2"/>
  <c r="M15" i="2"/>
  <c r="M14" i="2"/>
  <c r="M16" i="2"/>
  <c r="C17" i="2"/>
  <c r="M17" i="2"/>
  <c r="M18" i="2"/>
  <c r="C19" i="2"/>
  <c r="M19" i="2"/>
  <c r="M20" i="2"/>
  <c r="M3" i="2"/>
  <c r="P4" i="2"/>
  <c r="P5" i="2"/>
  <c r="P7" i="2"/>
  <c r="P11" i="2"/>
  <c r="P6" i="2"/>
  <c r="P9" i="2"/>
  <c r="P8" i="2"/>
  <c r="P10" i="2"/>
  <c r="P12" i="2"/>
  <c r="P13" i="2"/>
  <c r="P15" i="2"/>
  <c r="P14" i="2"/>
  <c r="P16" i="2"/>
  <c r="P17" i="2"/>
  <c r="P18" i="2"/>
  <c r="P19" i="2"/>
  <c r="P20" i="2"/>
  <c r="P3" i="2"/>
  <c r="P15" i="1"/>
  <c r="P16" i="1"/>
  <c r="P17" i="1"/>
  <c r="P18" i="1"/>
  <c r="P19" i="1"/>
  <c r="P20" i="1"/>
  <c r="P21" i="1"/>
  <c r="P22" i="1"/>
  <c r="P23" i="1"/>
  <c r="P24" i="1"/>
  <c r="P25" i="1"/>
  <c r="P26" i="1"/>
  <c r="P27" i="1"/>
  <c r="P28" i="1"/>
  <c r="P29" i="1"/>
  <c r="P14" i="1"/>
  <c r="U40" i="1"/>
  <c r="S44" i="1"/>
  <c r="U25" i="1"/>
  <c r="S29" i="1"/>
  <c r="U14" i="1"/>
  <c r="T14" i="1"/>
  <c r="N28" i="1"/>
  <c r="N27" i="1"/>
  <c r="N26" i="1"/>
  <c r="T7" i="1"/>
  <c r="N6" i="1"/>
  <c r="U7" i="1"/>
  <c r="T8" i="1"/>
  <c r="N8" i="1"/>
  <c r="U8" i="1" s="1"/>
  <c r="T9" i="1"/>
  <c r="N10" i="1"/>
  <c r="U9" i="1" s="1"/>
  <c r="T10" i="1"/>
  <c r="N12" i="1"/>
  <c r="U10" i="1" s="1"/>
  <c r="T11" i="1"/>
  <c r="N14" i="1"/>
  <c r="U11" i="1" s="1"/>
  <c r="N15" i="1"/>
  <c r="N16" i="1"/>
  <c r="N18" i="1"/>
  <c r="T12" i="1"/>
  <c r="N19" i="1"/>
  <c r="U12" i="1" s="1"/>
  <c r="N20" i="1"/>
  <c r="N21" i="1"/>
  <c r="N22" i="1"/>
  <c r="N23" i="1"/>
  <c r="T13" i="1"/>
  <c r="N24" i="1"/>
  <c r="U13" i="1"/>
  <c r="N25" i="1"/>
  <c r="T15" i="1"/>
  <c r="N31" i="1"/>
  <c r="U15" i="1" s="1"/>
  <c r="R7" i="2" l="1"/>
  <c r="R21" i="2" s="1"/>
  <c r="O7" i="2"/>
  <c r="U31" i="1"/>
  <c r="U46" i="1"/>
  <c r="O14" i="2"/>
</calcChain>
</file>

<file path=xl/sharedStrings.xml><?xml version="1.0" encoding="utf-8"?>
<sst xmlns="http://schemas.openxmlformats.org/spreadsheetml/2006/main" count="137" uniqueCount="111">
  <si>
    <t>LH Cites Per Case (not per opinion)</t>
  </si>
  <si>
    <t>Opinons w/LH</t>
  </si>
  <si>
    <t>Year</t>
  </si>
  <si>
    <t>Ratio of Averages =</t>
  </si>
  <si>
    <t xml:space="preserve">Ratio of Averages = </t>
  </si>
  <si>
    <t xml:space="preserve">(Opinions that are separate and only 1 paragraph) </t>
  </si>
  <si>
    <t xml:space="preserve">Opinions </t>
  </si>
  <si>
    <t>Opinions that are counted in preceding 2 columns but probably should not be, since they contain no reasoning at all (and are now crossed-out in the spreadsheet)</t>
  </si>
  <si>
    <t>Black</t>
  </si>
  <si>
    <t>Brandeis</t>
  </si>
  <si>
    <t>Butler</t>
  </si>
  <si>
    <t>Byrnes</t>
  </si>
  <si>
    <t>Cardozo</t>
  </si>
  <si>
    <t>Black to 1939</t>
  </si>
  <si>
    <t>Black from 1940</t>
  </si>
  <si>
    <t>Hughes to 1939</t>
  </si>
  <si>
    <t>Hughes from 1940</t>
  </si>
  <si>
    <t>Reed to 1939</t>
  </si>
  <si>
    <t>Reed from 1940</t>
  </si>
  <si>
    <t>Roberts to 1939</t>
  </si>
  <si>
    <t>Roberts from 1940</t>
  </si>
  <si>
    <t>Stone to 1939</t>
  </si>
  <si>
    <t>Stone from 1940</t>
  </si>
  <si>
    <t>Majority</t>
  </si>
  <si>
    <t>Separate</t>
  </si>
  <si>
    <t>Number</t>
  </si>
  <si>
    <t>Average</t>
  </si>
  <si>
    <t>Odd opinions omitted</t>
  </si>
  <si>
    <t xml:space="preserve">Federal Power Commission v. Natural Gas Pipeline Co. of America </t>
  </si>
  <si>
    <t>315 US 575</t>
  </si>
  <si>
    <t>Concurrence</t>
  </si>
  <si>
    <t>Black, Douglas, and Murphy</t>
  </si>
  <si>
    <t>Markham v. Cabell</t>
  </si>
  <si>
    <t>326 US 404</t>
  </si>
  <si>
    <t>Burton</t>
  </si>
  <si>
    <t>Douglas</t>
  </si>
  <si>
    <t>Frankfurter</t>
  </si>
  <si>
    <t>Holmes</t>
  </si>
  <si>
    <t>Hughes</t>
  </si>
  <si>
    <t>Jackson</t>
  </si>
  <si>
    <t>McReynolds post-1940 had only 5 majority and no separate</t>
  </si>
  <si>
    <t>McReynolds</t>
  </si>
  <si>
    <t>Murphy</t>
  </si>
  <si>
    <t>[17 per curiam opinions]</t>
  </si>
  <si>
    <t>Reed</t>
  </si>
  <si>
    <t>Roberts</t>
  </si>
  <si>
    <t>Rutledge</t>
  </si>
  <si>
    <t>Stone</t>
  </si>
  <si>
    <t>Sutherland</t>
  </si>
  <si>
    <t>Luckenbach Steamship Company v. United States</t>
  </si>
  <si>
    <t>280 US 173</t>
  </si>
  <si>
    <t>39 USC 654</t>
  </si>
  <si>
    <t>Government Contract</t>
  </si>
  <si>
    <t>Taft</t>
  </si>
  <si>
    <t>United States v. Jackson et al</t>
  </si>
  <si>
    <t>280 US 183</t>
  </si>
  <si>
    <t>43 USC 190</t>
  </si>
  <si>
    <t>Native American</t>
  </si>
  <si>
    <t>Van Devanter</t>
  </si>
  <si>
    <t xml:space="preserve">United States v. Malcolm </t>
  </si>
  <si>
    <t>282 US 792</t>
  </si>
  <si>
    <t>Revenue Act of 1928</t>
  </si>
  <si>
    <t>Income Tax</t>
  </si>
  <si>
    <t>Per curiam</t>
  </si>
  <si>
    <t>Becker Steel Co. of America v. Cummings, Attorney General</t>
  </si>
  <si>
    <t>296 US 74</t>
  </si>
  <si>
    <t>Trading with the Enemy Act</t>
  </si>
  <si>
    <t>Foreign Commerce</t>
  </si>
  <si>
    <t>Alien Property Custodian; Treasury</t>
  </si>
  <si>
    <t>Payment</t>
  </si>
  <si>
    <t>No</t>
  </si>
  <si>
    <t>Douglas pre-1940 had only 5 majority and 1 separate</t>
  </si>
  <si>
    <t>Frankfurter pre-1940 had 10 majority and no separate</t>
  </si>
  <si>
    <t>Lindgren, Administrator, v. United States et al</t>
  </si>
  <si>
    <t>281 US 38</t>
  </si>
  <si>
    <t>Merchant Marine Act; Federal Employers Liability Act</t>
  </si>
  <si>
    <t>Labor</t>
  </si>
  <si>
    <t>Sanford</t>
  </si>
  <si>
    <t>Majority + Separate</t>
  </si>
  <si>
    <t>Ratio of post-1939 to pre-1940</t>
  </si>
  <si>
    <t xml:space="preserve">Number </t>
  </si>
  <si>
    <t>? [no author; apparently per curiam]</t>
  </si>
  <si>
    <t>Wtd Avg 1930-39</t>
  </si>
  <si>
    <t>Wtd Avg 1940-45</t>
  </si>
  <si>
    <t>Ratio of Wtd Avg's =</t>
  </si>
  <si>
    <t>Ratio of Wtd Avg's for Maj Op's Only [see other spreadsheet] =</t>
  </si>
  <si>
    <t>Signed Opinions of the Court (Epstein Compendium, 2003, Table 2-8)</t>
  </si>
  <si>
    <t>Percent of Cases Statutory</t>
  </si>
  <si>
    <t>Signed Opinons of the Court (Epstein, 2003, Tbl. 2-8)</t>
  </si>
  <si>
    <t>Number with Any LH</t>
  </si>
  <si>
    <t>Percent with Any LH</t>
  </si>
  <si>
    <t>% of Opinions (majority plus separate) citing LH</t>
  </si>
  <si>
    <t>Pct of Signed Opinions of the Court that were statutory cases</t>
  </si>
  <si>
    <t>LH Cites (compiled for each year by summing figures in column labeled "Total LH Citations" in SS 1-1a thru SS 1-1h)</t>
  </si>
  <si>
    <t>NA</t>
  </si>
  <si>
    <t>Statutory Cases (compiled by counting all lines with "majority" opinion for each year in SS 1-1a thru SS 1-1h)</t>
  </si>
  <si>
    <t>Cases with zero LH (from SS 1-2a, using COUNTIF (series, 0) on all majority opinions for each year)</t>
  </si>
  <si>
    <t>Separate opinions citing LH in cases where majority cites no LH--all such opinions are designated by yellow highlight in SS 1-2a, Column M (Note: there were no cases in which more than 1 separate opinion within a case cited LH where majority opinion cited zero LH)</t>
  </si>
  <si>
    <t>Cases w/LH (for years 1930-45 and 1950, this is based on columns G and H of the present SS, as per the formula in the cells below; for years 1900, 1905, 1910, 1915, 1920, and 1925, I counted by hand in SS 1-1a thru SS 1-1f and double-checked by hand)</t>
  </si>
  <si>
    <t>% of Cases citing some LH (note: this is cases citing LH, not opinions citing LH)</t>
  </si>
  <si>
    <t>Average 1930-39 (from Column N)</t>
  </si>
  <si>
    <t>Average 1940-45 (fromcolumn N)</t>
  </si>
  <si>
    <t>Average 1930-39 (from column M)</t>
  </si>
  <si>
    <t>Average 1940-45 (from column N)</t>
  </si>
  <si>
    <t>Majority + Separate: Total Cites (extrapolated from number of opinions and average per opinion)</t>
  </si>
  <si>
    <t>the sum (3008), when added to the totals for the omitted justices (3 for Taft and 10 for Burton) equals 3021, which is the same as the sum of totals for individual years in Sheet 1 of this SS</t>
  </si>
  <si>
    <t>*all figures are drawn from SS 1-2, using the AVERAGE function and the COUNT function for the appropriate Justice, type of opinion, and dates</t>
  </si>
  <si>
    <t>Notes on other Justices who served both before and after Jan. 1, 1940:</t>
  </si>
  <si>
    <t>Proportion of LH cites in two heaviest cases (for two heaviest cases, see data for each year in SS 1-1g)</t>
  </si>
  <si>
    <t>BREAKDOWNS OF PRE-1940 PERIOD VERSUS POST-1940 PERIOD</t>
  </si>
  <si>
    <t>NOTE: in spreadsheets giving data on legislative history in judicial opinions, the breakdown of LH citations according to genre of LH (e.g., House bills, House cmte reports, etc.) will sometimes have asterisks next to the individual number (e.g., 7*); an asterisk indicates that, in the opinion at issue, citations to that genre of LH include at least some cites that arise because multiple pages are cited together and joined by commas; for example, if an opinion's only citation to House Committee Reports said, "H. Rep., 74th Cong., No. 14, pp. 7, 9," then we would enter "2*" in the cell for House Cmte Reports for that opinion; but if p. 7 of that document were cited at one point in the opinion, and p. 9 were cited later in the opinion, we would simply enter "2" in the cell, with no asterisk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</si>
</sst>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6" x14ac:knownFonts="1">
    <font>
      <sz val="11"/>
      <color theme="1"/>
      <name val="Calibri"/>
      <family val="2"/>
      <scheme val="minor"/>
    </font>
    <font>
      <sz val="11"/>
      <color theme="1"/>
      <name val="Calibri"/>
      <family val="2"/>
      <scheme val="minor"/>
    </font>
    <font>
      <b/>
      <u/>
      <sz val="12"/>
      <color theme="1"/>
      <name val="Calibri"/>
      <family val="2"/>
      <scheme val="minor"/>
    </font>
    <font>
      <b/>
      <u/>
      <sz val="11"/>
      <color theme="1"/>
      <name val="Calibri"/>
      <family val="2"/>
      <scheme val="minor"/>
    </font>
    <font>
      <sz val="12"/>
      <color rgb="FF000000"/>
      <name val="Calibri"/>
      <family val="2"/>
      <scheme val="minor"/>
    </font>
    <font>
      <strike/>
      <sz val="12"/>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34998626667073579"/>
        <bgColor indexed="64"/>
      </patternFill>
    </fill>
    <fill>
      <patternFill patternType="solid">
        <fgColor rgb="FFFFC000"/>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164" fontId="0" fillId="2" borderId="0" xfId="0" applyNumberFormat="1" applyFill="1"/>
    <xf numFmtId="9" fontId="0" fillId="0" borderId="0" xfId="1" applyFont="1"/>
    <xf numFmtId="0" fontId="0" fillId="2" borderId="0" xfId="0" applyFill="1"/>
    <xf numFmtId="164" fontId="0" fillId="0" borderId="0" xfId="0" applyNumberFormat="1"/>
    <xf numFmtId="0" fontId="2" fillId="0" borderId="0" xfId="0" applyFont="1"/>
    <xf numFmtId="9" fontId="2" fillId="0" borderId="0" xfId="1" applyFont="1"/>
    <xf numFmtId="9" fontId="0" fillId="0" borderId="0" xfId="0" applyNumberFormat="1"/>
    <xf numFmtId="2" fontId="0" fillId="2" borderId="0" xfId="0" applyNumberFormat="1" applyFill="1"/>
    <xf numFmtId="0" fontId="3" fillId="0" borderId="0" xfId="0" applyFont="1"/>
    <xf numFmtId="2" fontId="0" fillId="0" borderId="0" xfId="0" applyNumberFormat="1"/>
    <xf numFmtId="164" fontId="0" fillId="0" borderId="0" xfId="0" applyNumberFormat="1" applyFill="1"/>
    <xf numFmtId="9" fontId="0" fillId="2" borderId="0" xfId="0" applyNumberFormat="1" applyFill="1"/>
    <xf numFmtId="0" fontId="0" fillId="0" borderId="0" xfId="0" applyFont="1"/>
    <xf numFmtId="0" fontId="5" fillId="0" borderId="0" xfId="0" applyFont="1" applyFill="1"/>
    <xf numFmtId="0" fontId="0" fillId="0" borderId="0" xfId="0" applyFill="1"/>
    <xf numFmtId="0" fontId="0" fillId="0" borderId="0" xfId="0" applyFont="1" applyFill="1"/>
    <xf numFmtId="14" fontId="0" fillId="0" borderId="0" xfId="0" applyNumberFormat="1" applyFont="1" applyFill="1"/>
    <xf numFmtId="14" fontId="0" fillId="0" borderId="0" xfId="0" applyNumberFormat="1" applyFill="1"/>
    <xf numFmtId="0" fontId="4" fillId="0" borderId="0" xfId="0" applyFont="1" applyFill="1"/>
    <xf numFmtId="14" fontId="5" fillId="0" borderId="0" xfId="0" applyNumberFormat="1" applyFont="1" applyFill="1"/>
    <xf numFmtId="2" fontId="0" fillId="0" borderId="0" xfId="0" applyNumberFormat="1" applyFont="1"/>
    <xf numFmtId="2" fontId="0" fillId="0" borderId="0" xfId="0" applyNumberFormat="1" applyFill="1"/>
    <xf numFmtId="0" fontId="3" fillId="3" borderId="0" xfId="0" applyFont="1" applyFill="1"/>
    <xf numFmtId="0" fontId="0" fillId="3" borderId="0" xfId="0" applyFill="1"/>
    <xf numFmtId="0" fontId="0" fillId="3" borderId="0" xfId="0" applyFont="1" applyFill="1"/>
    <xf numFmtId="0" fontId="5" fillId="3" borderId="0" xfId="0" applyFont="1" applyFill="1"/>
    <xf numFmtId="9" fontId="0" fillId="0" borderId="0" xfId="1" applyFont="1" applyFill="1"/>
    <xf numFmtId="2" fontId="0" fillId="0" borderId="0" xfId="0" applyNumberFormat="1" applyFont="1" applyFill="1"/>
    <xf numFmtId="0" fontId="3" fillId="0" borderId="0" xfId="0" applyFont="1" applyFill="1"/>
    <xf numFmtId="0" fontId="2" fillId="0" borderId="0" xfId="0" applyFont="1" applyFill="1"/>
    <xf numFmtId="165" fontId="0" fillId="0" borderId="0" xfId="0" applyNumberFormat="1"/>
    <xf numFmtId="9" fontId="0" fillId="0" borderId="0" xfId="1" applyNumberFormat="1" applyFont="1"/>
    <xf numFmtId="0" fontId="0" fillId="4" borderId="0" xfId="0" applyFill="1"/>
  </cellXfs>
  <cellStyles count="2">
    <cellStyle name="Normal" xfId="0" builtinId="0"/>
    <cellStyle name="Percent"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1.xml"/><Relationship Id="rId13" Type="http://schemas.openxmlformats.org/officeDocument/2006/relationships/sharedStrings" Target="sharedStrings.xml"/><Relationship Id="rId3" Type="http://schemas.openxmlformats.org/officeDocument/2006/relationships/chartsheet" Target="chartsheets/sheet3.xml"/><Relationship Id="rId7" Type="http://schemas.openxmlformats.org/officeDocument/2006/relationships/chartsheet" Target="chartsheets/sheet7.xml"/><Relationship Id="rId12" Type="http://schemas.openxmlformats.org/officeDocument/2006/relationships/styles" Target="styles.xml"/><Relationship Id="rId2" Type="http://schemas.openxmlformats.org/officeDocument/2006/relationships/chartsheet" Target="chartsheets/sheet2.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theme" Target="theme/theme1.xml"/><Relationship Id="rId5" Type="http://schemas.openxmlformats.org/officeDocument/2006/relationships/chartsheet" Target="chartsheets/sheet5.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aseline="0"/>
            </a:pPr>
            <a:r>
              <a:rPr lang="en-US" sz="1400" baseline="0"/>
              <a:t>Figure 1: SCOTUS Statutory Cases, 1900-50</a:t>
            </a:r>
          </a:p>
        </c:rich>
      </c:tx>
      <c:overlay val="0"/>
    </c:title>
    <c:autoTitleDeleted val="0"/>
    <c:plotArea>
      <c:layout/>
      <c:lineChart>
        <c:grouping val="standard"/>
        <c:varyColors val="0"/>
        <c:ser>
          <c:idx val="0"/>
          <c:order val="0"/>
          <c:cat>
            <c:numRef>
              <c:f>Sheet1!$S$5:$S$15</c:f>
              <c:numCache>
                <c:formatCode>General</c:formatCode>
                <c:ptCount val="11"/>
                <c:pt idx="0">
                  <c:v>1900</c:v>
                </c:pt>
                <c:pt idx="1">
                  <c:v>1905</c:v>
                </c:pt>
                <c:pt idx="2">
                  <c:v>1910</c:v>
                </c:pt>
                <c:pt idx="3">
                  <c:v>1915</c:v>
                </c:pt>
                <c:pt idx="4">
                  <c:v>1920</c:v>
                </c:pt>
                <c:pt idx="5">
                  <c:v>1925</c:v>
                </c:pt>
                <c:pt idx="6">
                  <c:v>1930</c:v>
                </c:pt>
                <c:pt idx="7">
                  <c:v>1935</c:v>
                </c:pt>
                <c:pt idx="8">
                  <c:v>1940</c:v>
                </c:pt>
                <c:pt idx="9">
                  <c:v>1945</c:v>
                </c:pt>
                <c:pt idx="10">
                  <c:v>1950</c:v>
                </c:pt>
              </c:numCache>
            </c:numRef>
          </c:cat>
          <c:val>
            <c:numRef>
              <c:f>Sheet1!$X$5:$X$15</c:f>
              <c:numCache>
                <c:formatCode>General</c:formatCode>
                <c:ptCount val="11"/>
                <c:pt idx="0">
                  <c:v>96</c:v>
                </c:pt>
                <c:pt idx="1">
                  <c:v>106</c:v>
                </c:pt>
                <c:pt idx="2">
                  <c:v>74</c:v>
                </c:pt>
                <c:pt idx="3">
                  <c:v>150</c:v>
                </c:pt>
                <c:pt idx="4">
                  <c:v>100</c:v>
                </c:pt>
                <c:pt idx="5">
                  <c:v>124</c:v>
                </c:pt>
                <c:pt idx="6">
                  <c:v>76</c:v>
                </c:pt>
                <c:pt idx="7">
                  <c:v>94</c:v>
                </c:pt>
                <c:pt idx="8">
                  <c:v>90</c:v>
                </c:pt>
                <c:pt idx="9">
                  <c:v>113</c:v>
                </c:pt>
                <c:pt idx="10">
                  <c:v>55</c:v>
                </c:pt>
              </c:numCache>
            </c:numRef>
          </c:val>
          <c:smooth val="0"/>
        </c:ser>
        <c:dLbls>
          <c:showLegendKey val="0"/>
          <c:showVal val="0"/>
          <c:showCatName val="0"/>
          <c:showSerName val="0"/>
          <c:showPercent val="0"/>
          <c:showBubbleSize val="0"/>
        </c:dLbls>
        <c:marker val="1"/>
        <c:smooth val="0"/>
        <c:axId val="98070528"/>
        <c:axId val="98072064"/>
      </c:lineChart>
      <c:catAx>
        <c:axId val="98070528"/>
        <c:scaling>
          <c:orientation val="minMax"/>
        </c:scaling>
        <c:delete val="0"/>
        <c:axPos val="b"/>
        <c:majorGridlines/>
        <c:numFmt formatCode="General" sourceLinked="1"/>
        <c:majorTickMark val="none"/>
        <c:minorTickMark val="none"/>
        <c:tickLblPos val="nextTo"/>
        <c:crossAx val="98072064"/>
        <c:crosses val="autoZero"/>
        <c:auto val="1"/>
        <c:lblAlgn val="ctr"/>
        <c:lblOffset val="100"/>
        <c:noMultiLvlLbl val="0"/>
      </c:catAx>
      <c:valAx>
        <c:axId val="98072064"/>
        <c:scaling>
          <c:orientation val="minMax"/>
        </c:scaling>
        <c:delete val="0"/>
        <c:axPos val="l"/>
        <c:majorGridlines/>
        <c:numFmt formatCode="General" sourceLinked="1"/>
        <c:majorTickMark val="none"/>
        <c:minorTickMark val="none"/>
        <c:tickLblPos val="nextTo"/>
        <c:crossAx val="98070528"/>
        <c:crosses val="autoZero"/>
        <c:crossBetween val="midCat"/>
      </c:valAx>
    </c:plotArea>
    <c:plotVisOnly val="1"/>
    <c:dispBlanksAs val="gap"/>
    <c:showDLblsOverMax val="0"/>
  </c:char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aseline="0"/>
            </a:pPr>
            <a:r>
              <a:rPr lang="en-US" sz="1400" baseline="0"/>
              <a:t>Figure 2: SCOTUS LH Cites Per Statutory Case, 1900-50</a:t>
            </a:r>
          </a:p>
        </c:rich>
      </c:tx>
      <c:overlay val="0"/>
    </c:title>
    <c:autoTitleDeleted val="0"/>
    <c:plotArea>
      <c:layout/>
      <c:lineChart>
        <c:grouping val="standard"/>
        <c:varyColors val="0"/>
        <c:ser>
          <c:idx val="0"/>
          <c:order val="0"/>
          <c:cat>
            <c:numRef>
              <c:f>Sheet1!$S$5:$S$15</c:f>
              <c:numCache>
                <c:formatCode>General</c:formatCode>
                <c:ptCount val="11"/>
                <c:pt idx="0">
                  <c:v>1900</c:v>
                </c:pt>
                <c:pt idx="1">
                  <c:v>1905</c:v>
                </c:pt>
                <c:pt idx="2">
                  <c:v>1910</c:v>
                </c:pt>
                <c:pt idx="3">
                  <c:v>1915</c:v>
                </c:pt>
                <c:pt idx="4">
                  <c:v>1920</c:v>
                </c:pt>
                <c:pt idx="5">
                  <c:v>1925</c:v>
                </c:pt>
                <c:pt idx="6">
                  <c:v>1930</c:v>
                </c:pt>
                <c:pt idx="7">
                  <c:v>1935</c:v>
                </c:pt>
                <c:pt idx="8">
                  <c:v>1940</c:v>
                </c:pt>
                <c:pt idx="9">
                  <c:v>1945</c:v>
                </c:pt>
                <c:pt idx="10">
                  <c:v>1950</c:v>
                </c:pt>
              </c:numCache>
            </c:numRef>
          </c:cat>
          <c:val>
            <c:numRef>
              <c:f>Sheet1!$U$5:$U$15</c:f>
              <c:numCache>
                <c:formatCode>0.0</c:formatCode>
                <c:ptCount val="11"/>
                <c:pt idx="0">
                  <c:v>9.375E-2</c:v>
                </c:pt>
                <c:pt idx="1">
                  <c:v>0</c:v>
                </c:pt>
                <c:pt idx="2">
                  <c:v>0</c:v>
                </c:pt>
                <c:pt idx="3">
                  <c:v>0.26</c:v>
                </c:pt>
                <c:pt idx="4">
                  <c:v>0.55000000000000004</c:v>
                </c:pt>
                <c:pt idx="5">
                  <c:v>0.23387096774193547</c:v>
                </c:pt>
                <c:pt idx="6">
                  <c:v>0.39473684210526316</c:v>
                </c:pt>
                <c:pt idx="7">
                  <c:v>0.71276595744680848</c:v>
                </c:pt>
                <c:pt idx="8">
                  <c:v>3.3111111111111109</c:v>
                </c:pt>
                <c:pt idx="9">
                  <c:v>3.8141592920353982</c:v>
                </c:pt>
                <c:pt idx="10">
                  <c:v>4.5999999999999996</c:v>
                </c:pt>
              </c:numCache>
            </c:numRef>
          </c:val>
          <c:smooth val="0"/>
        </c:ser>
        <c:dLbls>
          <c:showLegendKey val="0"/>
          <c:showVal val="0"/>
          <c:showCatName val="0"/>
          <c:showSerName val="0"/>
          <c:showPercent val="0"/>
          <c:showBubbleSize val="0"/>
        </c:dLbls>
        <c:marker val="1"/>
        <c:smooth val="0"/>
        <c:axId val="98260480"/>
        <c:axId val="98262016"/>
      </c:lineChart>
      <c:catAx>
        <c:axId val="98260480"/>
        <c:scaling>
          <c:orientation val="minMax"/>
        </c:scaling>
        <c:delete val="0"/>
        <c:axPos val="b"/>
        <c:majorGridlines/>
        <c:numFmt formatCode="General" sourceLinked="1"/>
        <c:majorTickMark val="none"/>
        <c:minorTickMark val="none"/>
        <c:tickLblPos val="nextTo"/>
        <c:crossAx val="98262016"/>
        <c:crosses val="autoZero"/>
        <c:auto val="1"/>
        <c:lblAlgn val="ctr"/>
        <c:lblOffset val="100"/>
        <c:noMultiLvlLbl val="0"/>
      </c:catAx>
      <c:valAx>
        <c:axId val="98262016"/>
        <c:scaling>
          <c:orientation val="minMax"/>
        </c:scaling>
        <c:delete val="0"/>
        <c:axPos val="l"/>
        <c:majorGridlines/>
        <c:numFmt formatCode="0.0" sourceLinked="1"/>
        <c:majorTickMark val="none"/>
        <c:minorTickMark val="none"/>
        <c:tickLblPos val="nextTo"/>
        <c:crossAx val="98260480"/>
        <c:crosses val="autoZero"/>
        <c:crossBetween val="midCat"/>
      </c:valAx>
    </c:plotArea>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aseline="0"/>
            </a:pPr>
            <a:r>
              <a:rPr lang="en-US" sz="1400" baseline="0"/>
              <a:t>Figure 3: Percent of SCOTUS Statutory Cases Citing LH, 1900-50</a:t>
            </a:r>
          </a:p>
        </c:rich>
      </c:tx>
      <c:overlay val="0"/>
    </c:title>
    <c:autoTitleDeleted val="0"/>
    <c:plotArea>
      <c:layout/>
      <c:lineChart>
        <c:grouping val="standard"/>
        <c:varyColors val="0"/>
        <c:ser>
          <c:idx val="0"/>
          <c:order val="0"/>
          <c:cat>
            <c:numRef>
              <c:f>Sheet1!$S$5:$S$15</c:f>
              <c:numCache>
                <c:formatCode>General</c:formatCode>
                <c:ptCount val="11"/>
                <c:pt idx="0">
                  <c:v>1900</c:v>
                </c:pt>
                <c:pt idx="1">
                  <c:v>1905</c:v>
                </c:pt>
                <c:pt idx="2">
                  <c:v>1910</c:v>
                </c:pt>
                <c:pt idx="3">
                  <c:v>1915</c:v>
                </c:pt>
                <c:pt idx="4">
                  <c:v>1920</c:v>
                </c:pt>
                <c:pt idx="5">
                  <c:v>1925</c:v>
                </c:pt>
                <c:pt idx="6">
                  <c:v>1930</c:v>
                </c:pt>
                <c:pt idx="7">
                  <c:v>1935</c:v>
                </c:pt>
                <c:pt idx="8">
                  <c:v>1940</c:v>
                </c:pt>
                <c:pt idx="9">
                  <c:v>1945</c:v>
                </c:pt>
                <c:pt idx="10">
                  <c:v>1950</c:v>
                </c:pt>
              </c:numCache>
            </c:numRef>
          </c:cat>
          <c:val>
            <c:numRef>
              <c:f>Sheet1!$T$5:$T$15</c:f>
              <c:numCache>
                <c:formatCode>0%</c:formatCode>
                <c:ptCount val="11"/>
                <c:pt idx="0">
                  <c:v>3.125E-2</c:v>
                </c:pt>
                <c:pt idx="1">
                  <c:v>0</c:v>
                </c:pt>
                <c:pt idx="2">
                  <c:v>0</c:v>
                </c:pt>
                <c:pt idx="3">
                  <c:v>5.3333333333333337E-2</c:v>
                </c:pt>
                <c:pt idx="4">
                  <c:v>0.09</c:v>
                </c:pt>
                <c:pt idx="5">
                  <c:v>5.6451612903225805E-2</c:v>
                </c:pt>
                <c:pt idx="6">
                  <c:v>0.17105263157894737</c:v>
                </c:pt>
                <c:pt idx="7">
                  <c:v>0.20212765957446807</c:v>
                </c:pt>
                <c:pt idx="8">
                  <c:v>0.44444444444444442</c:v>
                </c:pt>
                <c:pt idx="9">
                  <c:v>0.47787610619469029</c:v>
                </c:pt>
                <c:pt idx="10">
                  <c:v>0.49090909090909091</c:v>
                </c:pt>
              </c:numCache>
            </c:numRef>
          </c:val>
          <c:smooth val="0"/>
        </c:ser>
        <c:dLbls>
          <c:showLegendKey val="0"/>
          <c:showVal val="0"/>
          <c:showCatName val="0"/>
          <c:showSerName val="0"/>
          <c:showPercent val="0"/>
          <c:showBubbleSize val="0"/>
        </c:dLbls>
        <c:marker val="1"/>
        <c:smooth val="0"/>
        <c:axId val="98282496"/>
        <c:axId val="98300672"/>
      </c:lineChart>
      <c:catAx>
        <c:axId val="98282496"/>
        <c:scaling>
          <c:orientation val="minMax"/>
        </c:scaling>
        <c:delete val="0"/>
        <c:axPos val="b"/>
        <c:majorGridlines/>
        <c:numFmt formatCode="General" sourceLinked="1"/>
        <c:majorTickMark val="none"/>
        <c:minorTickMark val="none"/>
        <c:tickLblPos val="nextTo"/>
        <c:crossAx val="98300672"/>
        <c:crosses val="autoZero"/>
        <c:auto val="1"/>
        <c:lblAlgn val="ctr"/>
        <c:lblOffset val="100"/>
        <c:noMultiLvlLbl val="0"/>
      </c:catAx>
      <c:valAx>
        <c:axId val="98300672"/>
        <c:scaling>
          <c:orientation val="minMax"/>
        </c:scaling>
        <c:delete val="0"/>
        <c:axPos val="l"/>
        <c:majorGridlines/>
        <c:numFmt formatCode="0%" sourceLinked="1"/>
        <c:majorTickMark val="none"/>
        <c:minorTickMark val="none"/>
        <c:tickLblPos val="nextTo"/>
        <c:crossAx val="98282496"/>
        <c:crosses val="autoZero"/>
        <c:crossBetween val="midCat"/>
      </c:valAx>
    </c:plotArea>
    <c:plotVisOnly val="1"/>
    <c:dispBlanksAs val="gap"/>
    <c:showDLblsOverMax val="0"/>
  </c:char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aseline="0"/>
              <a:t>Figure 4: SCOTUS Statutory Cases, 1930-45</a:t>
            </a:r>
            <a:endParaRPr lang="en-US"/>
          </a:p>
        </c:rich>
      </c:tx>
      <c:overlay val="0"/>
    </c:title>
    <c:autoTitleDeleted val="0"/>
    <c:plotArea>
      <c:layout/>
      <c:lineChart>
        <c:grouping val="standard"/>
        <c:varyColors val="0"/>
        <c:ser>
          <c:idx val="0"/>
          <c:order val="0"/>
          <c:cat>
            <c:numRef>
              <c:f>Sheet1!$A$14:$A$29</c:f>
              <c:numCache>
                <c:formatCode>General</c:formatCode>
                <c:ptCount val="16"/>
                <c:pt idx="0">
                  <c:v>1930</c:v>
                </c:pt>
                <c:pt idx="1">
                  <c:v>1931</c:v>
                </c:pt>
                <c:pt idx="2">
                  <c:v>1932</c:v>
                </c:pt>
                <c:pt idx="3">
                  <c:v>1933</c:v>
                </c:pt>
                <c:pt idx="4">
                  <c:v>1934</c:v>
                </c:pt>
                <c:pt idx="5">
                  <c:v>1935</c:v>
                </c:pt>
                <c:pt idx="6">
                  <c:v>1936</c:v>
                </c:pt>
                <c:pt idx="7">
                  <c:v>1937</c:v>
                </c:pt>
                <c:pt idx="8">
                  <c:v>1938</c:v>
                </c:pt>
                <c:pt idx="9">
                  <c:v>1939</c:v>
                </c:pt>
                <c:pt idx="10">
                  <c:v>1940</c:v>
                </c:pt>
                <c:pt idx="11">
                  <c:v>1941</c:v>
                </c:pt>
                <c:pt idx="12">
                  <c:v>1942</c:v>
                </c:pt>
                <c:pt idx="13">
                  <c:v>1943</c:v>
                </c:pt>
                <c:pt idx="14">
                  <c:v>1944</c:v>
                </c:pt>
                <c:pt idx="15">
                  <c:v>1945</c:v>
                </c:pt>
              </c:numCache>
            </c:numRef>
          </c:cat>
          <c:val>
            <c:numRef>
              <c:f>Sheet1!$F$14:$F$29</c:f>
              <c:numCache>
                <c:formatCode>General</c:formatCode>
                <c:ptCount val="16"/>
                <c:pt idx="0">
                  <c:v>76</c:v>
                </c:pt>
                <c:pt idx="1">
                  <c:v>111</c:v>
                </c:pt>
                <c:pt idx="2">
                  <c:v>102</c:v>
                </c:pt>
                <c:pt idx="3">
                  <c:v>89</c:v>
                </c:pt>
                <c:pt idx="4">
                  <c:v>90</c:v>
                </c:pt>
                <c:pt idx="5">
                  <c:v>94</c:v>
                </c:pt>
                <c:pt idx="6">
                  <c:v>82</c:v>
                </c:pt>
                <c:pt idx="7">
                  <c:v>93</c:v>
                </c:pt>
                <c:pt idx="8">
                  <c:v>89</c:v>
                </c:pt>
                <c:pt idx="9">
                  <c:v>84</c:v>
                </c:pt>
                <c:pt idx="10">
                  <c:v>90</c:v>
                </c:pt>
                <c:pt idx="11">
                  <c:v>98</c:v>
                </c:pt>
                <c:pt idx="12">
                  <c:v>111</c:v>
                </c:pt>
                <c:pt idx="13">
                  <c:v>116</c:v>
                </c:pt>
                <c:pt idx="14">
                  <c:v>89</c:v>
                </c:pt>
                <c:pt idx="15">
                  <c:v>113</c:v>
                </c:pt>
              </c:numCache>
            </c:numRef>
          </c:val>
          <c:smooth val="0"/>
        </c:ser>
        <c:dLbls>
          <c:showLegendKey val="0"/>
          <c:showVal val="0"/>
          <c:showCatName val="0"/>
          <c:showSerName val="0"/>
          <c:showPercent val="0"/>
          <c:showBubbleSize val="0"/>
        </c:dLbls>
        <c:marker val="1"/>
        <c:smooth val="0"/>
        <c:axId val="98965760"/>
        <c:axId val="98967552"/>
      </c:lineChart>
      <c:catAx>
        <c:axId val="98965760"/>
        <c:scaling>
          <c:orientation val="minMax"/>
        </c:scaling>
        <c:delete val="0"/>
        <c:axPos val="b"/>
        <c:majorGridlines/>
        <c:numFmt formatCode="General" sourceLinked="1"/>
        <c:majorTickMark val="none"/>
        <c:minorTickMark val="none"/>
        <c:tickLblPos val="nextTo"/>
        <c:crossAx val="98967552"/>
        <c:crosses val="autoZero"/>
        <c:auto val="1"/>
        <c:lblAlgn val="ctr"/>
        <c:lblOffset val="100"/>
        <c:noMultiLvlLbl val="0"/>
      </c:catAx>
      <c:valAx>
        <c:axId val="98967552"/>
        <c:scaling>
          <c:orientation val="minMax"/>
          <c:max val="160"/>
        </c:scaling>
        <c:delete val="0"/>
        <c:axPos val="l"/>
        <c:majorGridlines/>
        <c:numFmt formatCode="General" sourceLinked="1"/>
        <c:majorTickMark val="none"/>
        <c:minorTickMark val="none"/>
        <c:tickLblPos val="nextTo"/>
        <c:crossAx val="98965760"/>
        <c:crosses val="autoZero"/>
        <c:crossBetween val="midCat"/>
      </c:valAx>
    </c:plotArea>
    <c:plotVisOnly val="1"/>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aseline="0"/>
              <a:t>Figure 5: SCOTUS LH Cites Per Statutory Case, 1930-45</a:t>
            </a:r>
            <a:endParaRPr lang="en-US" sz="1400" baseline="0"/>
          </a:p>
        </c:rich>
      </c:tx>
      <c:overlay val="0"/>
    </c:title>
    <c:autoTitleDeleted val="0"/>
    <c:plotArea>
      <c:layout/>
      <c:lineChart>
        <c:grouping val="standard"/>
        <c:varyColors val="0"/>
        <c:ser>
          <c:idx val="0"/>
          <c:order val="0"/>
          <c:cat>
            <c:numRef>
              <c:f>Sheet1!$A$14:$A$29</c:f>
              <c:numCache>
                <c:formatCode>General</c:formatCode>
                <c:ptCount val="16"/>
                <c:pt idx="0">
                  <c:v>1930</c:v>
                </c:pt>
                <c:pt idx="1">
                  <c:v>1931</c:v>
                </c:pt>
                <c:pt idx="2">
                  <c:v>1932</c:v>
                </c:pt>
                <c:pt idx="3">
                  <c:v>1933</c:v>
                </c:pt>
                <c:pt idx="4">
                  <c:v>1934</c:v>
                </c:pt>
                <c:pt idx="5">
                  <c:v>1935</c:v>
                </c:pt>
                <c:pt idx="6">
                  <c:v>1936</c:v>
                </c:pt>
                <c:pt idx="7">
                  <c:v>1937</c:v>
                </c:pt>
                <c:pt idx="8">
                  <c:v>1938</c:v>
                </c:pt>
                <c:pt idx="9">
                  <c:v>1939</c:v>
                </c:pt>
                <c:pt idx="10">
                  <c:v>1940</c:v>
                </c:pt>
                <c:pt idx="11">
                  <c:v>1941</c:v>
                </c:pt>
                <c:pt idx="12">
                  <c:v>1942</c:v>
                </c:pt>
                <c:pt idx="13">
                  <c:v>1943</c:v>
                </c:pt>
                <c:pt idx="14">
                  <c:v>1944</c:v>
                </c:pt>
                <c:pt idx="15">
                  <c:v>1945</c:v>
                </c:pt>
              </c:numCache>
            </c:numRef>
          </c:cat>
          <c:val>
            <c:numRef>
              <c:f>Sheet1!$N$14:$N$29</c:f>
              <c:numCache>
                <c:formatCode>0.0</c:formatCode>
                <c:ptCount val="16"/>
                <c:pt idx="0">
                  <c:v>0.39473684210526316</c:v>
                </c:pt>
                <c:pt idx="1">
                  <c:v>1</c:v>
                </c:pt>
                <c:pt idx="2">
                  <c:v>0.97058823529411764</c:v>
                </c:pt>
                <c:pt idx="3">
                  <c:v>1.7303370786516854</c:v>
                </c:pt>
                <c:pt idx="4">
                  <c:v>0.7</c:v>
                </c:pt>
                <c:pt idx="5">
                  <c:v>0.71276595744680848</c:v>
                </c:pt>
                <c:pt idx="6">
                  <c:v>0.52439024390243905</c:v>
                </c:pt>
                <c:pt idx="7">
                  <c:v>1.053763440860215</c:v>
                </c:pt>
                <c:pt idx="8">
                  <c:v>0.8539325842696629</c:v>
                </c:pt>
                <c:pt idx="9">
                  <c:v>1.1547619047619047</c:v>
                </c:pt>
                <c:pt idx="10">
                  <c:v>3.3111111111111109</c:v>
                </c:pt>
                <c:pt idx="11">
                  <c:v>3.010204081632653</c:v>
                </c:pt>
                <c:pt idx="12">
                  <c:v>2.2342342342342341</c:v>
                </c:pt>
                <c:pt idx="13">
                  <c:v>4.5603448275862073</c:v>
                </c:pt>
                <c:pt idx="14">
                  <c:v>4.2921348314606744</c:v>
                </c:pt>
                <c:pt idx="15">
                  <c:v>3.8141592920353982</c:v>
                </c:pt>
              </c:numCache>
            </c:numRef>
          </c:val>
          <c:smooth val="0"/>
        </c:ser>
        <c:dLbls>
          <c:showLegendKey val="0"/>
          <c:showVal val="0"/>
          <c:showCatName val="0"/>
          <c:showSerName val="0"/>
          <c:showPercent val="0"/>
          <c:showBubbleSize val="0"/>
        </c:dLbls>
        <c:marker val="1"/>
        <c:smooth val="0"/>
        <c:axId val="99000320"/>
        <c:axId val="99001856"/>
      </c:lineChart>
      <c:catAx>
        <c:axId val="99000320"/>
        <c:scaling>
          <c:orientation val="minMax"/>
        </c:scaling>
        <c:delete val="0"/>
        <c:axPos val="b"/>
        <c:majorGridlines/>
        <c:numFmt formatCode="General" sourceLinked="1"/>
        <c:majorTickMark val="none"/>
        <c:minorTickMark val="none"/>
        <c:tickLblPos val="nextTo"/>
        <c:crossAx val="99001856"/>
        <c:crosses val="autoZero"/>
        <c:auto val="1"/>
        <c:lblAlgn val="ctr"/>
        <c:lblOffset val="100"/>
        <c:noMultiLvlLbl val="0"/>
      </c:catAx>
      <c:valAx>
        <c:axId val="99001856"/>
        <c:scaling>
          <c:orientation val="minMax"/>
        </c:scaling>
        <c:delete val="0"/>
        <c:axPos val="l"/>
        <c:majorGridlines/>
        <c:numFmt formatCode="0.0" sourceLinked="1"/>
        <c:majorTickMark val="none"/>
        <c:minorTickMark val="none"/>
        <c:tickLblPos val="nextTo"/>
        <c:crossAx val="99000320"/>
        <c:crosses val="autoZero"/>
        <c:crossBetween val="midCat"/>
      </c:valAx>
    </c:plotArea>
    <c:plotVisOnly val="1"/>
    <c:dispBlanksAs val="gap"/>
    <c:showDLblsOverMax val="0"/>
  </c:chart>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aseline="0"/>
            </a:pPr>
            <a:r>
              <a:rPr lang="en-US" sz="1400" baseline="0"/>
              <a:t>Figure 6: Percent of SCOTUS Statutory Cases Citing LH, 1930-45</a:t>
            </a:r>
          </a:p>
        </c:rich>
      </c:tx>
      <c:overlay val="0"/>
    </c:title>
    <c:autoTitleDeleted val="0"/>
    <c:plotArea>
      <c:layout/>
      <c:lineChart>
        <c:grouping val="standard"/>
        <c:varyColors val="0"/>
        <c:ser>
          <c:idx val="0"/>
          <c:order val="0"/>
          <c:cat>
            <c:numRef>
              <c:f>Sheet1!$A$14:$A$29</c:f>
              <c:numCache>
                <c:formatCode>General</c:formatCode>
                <c:ptCount val="16"/>
                <c:pt idx="0">
                  <c:v>1930</c:v>
                </c:pt>
                <c:pt idx="1">
                  <c:v>1931</c:v>
                </c:pt>
                <c:pt idx="2">
                  <c:v>1932</c:v>
                </c:pt>
                <c:pt idx="3">
                  <c:v>1933</c:v>
                </c:pt>
                <c:pt idx="4">
                  <c:v>1934</c:v>
                </c:pt>
                <c:pt idx="5">
                  <c:v>1935</c:v>
                </c:pt>
                <c:pt idx="6">
                  <c:v>1936</c:v>
                </c:pt>
                <c:pt idx="7">
                  <c:v>1937</c:v>
                </c:pt>
                <c:pt idx="8">
                  <c:v>1938</c:v>
                </c:pt>
                <c:pt idx="9">
                  <c:v>1939</c:v>
                </c:pt>
                <c:pt idx="10">
                  <c:v>1940</c:v>
                </c:pt>
                <c:pt idx="11">
                  <c:v>1941</c:v>
                </c:pt>
                <c:pt idx="12">
                  <c:v>1942</c:v>
                </c:pt>
                <c:pt idx="13">
                  <c:v>1943</c:v>
                </c:pt>
                <c:pt idx="14">
                  <c:v>1944</c:v>
                </c:pt>
                <c:pt idx="15">
                  <c:v>1945</c:v>
                </c:pt>
              </c:numCache>
            </c:numRef>
          </c:cat>
          <c:val>
            <c:numRef>
              <c:f>Sheet1!$M$14:$M$29</c:f>
              <c:numCache>
                <c:formatCode>0%</c:formatCode>
                <c:ptCount val="16"/>
                <c:pt idx="0">
                  <c:v>0.17105263157894737</c:v>
                </c:pt>
                <c:pt idx="1">
                  <c:v>0.15315315315315314</c:v>
                </c:pt>
                <c:pt idx="2">
                  <c:v>0.20588235294117646</c:v>
                </c:pt>
                <c:pt idx="3">
                  <c:v>0.23595505617977527</c:v>
                </c:pt>
                <c:pt idx="4">
                  <c:v>0.24444444444444444</c:v>
                </c:pt>
                <c:pt idx="5">
                  <c:v>0.20212765957446807</c:v>
                </c:pt>
                <c:pt idx="6">
                  <c:v>0.15853658536585366</c:v>
                </c:pt>
                <c:pt idx="7">
                  <c:v>0.21505376344086022</c:v>
                </c:pt>
                <c:pt idx="8">
                  <c:v>0.2247191011235955</c:v>
                </c:pt>
                <c:pt idx="9">
                  <c:v>0.34523809523809523</c:v>
                </c:pt>
                <c:pt idx="10">
                  <c:v>0.44444444444444442</c:v>
                </c:pt>
                <c:pt idx="11">
                  <c:v>0.40816326530612246</c:v>
                </c:pt>
                <c:pt idx="12">
                  <c:v>0.3783783783783784</c:v>
                </c:pt>
                <c:pt idx="13">
                  <c:v>0.52586206896551724</c:v>
                </c:pt>
                <c:pt idx="14">
                  <c:v>0.4943820224719101</c:v>
                </c:pt>
                <c:pt idx="15">
                  <c:v>0.47787610619469029</c:v>
                </c:pt>
              </c:numCache>
            </c:numRef>
          </c:val>
          <c:smooth val="0"/>
        </c:ser>
        <c:dLbls>
          <c:showLegendKey val="0"/>
          <c:showVal val="0"/>
          <c:showCatName val="0"/>
          <c:showSerName val="0"/>
          <c:showPercent val="0"/>
          <c:showBubbleSize val="0"/>
        </c:dLbls>
        <c:marker val="1"/>
        <c:smooth val="0"/>
        <c:axId val="98735616"/>
        <c:axId val="98737152"/>
      </c:lineChart>
      <c:catAx>
        <c:axId val="98735616"/>
        <c:scaling>
          <c:orientation val="minMax"/>
        </c:scaling>
        <c:delete val="0"/>
        <c:axPos val="b"/>
        <c:majorGridlines/>
        <c:numFmt formatCode="General" sourceLinked="1"/>
        <c:majorTickMark val="none"/>
        <c:minorTickMark val="none"/>
        <c:tickLblPos val="nextTo"/>
        <c:crossAx val="98737152"/>
        <c:crosses val="autoZero"/>
        <c:auto val="1"/>
        <c:lblAlgn val="ctr"/>
        <c:lblOffset val="100"/>
        <c:noMultiLvlLbl val="0"/>
      </c:catAx>
      <c:valAx>
        <c:axId val="98737152"/>
        <c:scaling>
          <c:orientation val="minMax"/>
        </c:scaling>
        <c:delete val="0"/>
        <c:axPos val="l"/>
        <c:majorGridlines/>
        <c:numFmt formatCode="0%" sourceLinked="1"/>
        <c:majorTickMark val="none"/>
        <c:minorTickMark val="none"/>
        <c:tickLblPos val="nextTo"/>
        <c:crossAx val="98735616"/>
        <c:crosses val="autoZero"/>
        <c:crossBetween val="midCat"/>
      </c:valAx>
    </c:plotArea>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diamond"/>
            <c:size val="5"/>
          </c:marker>
          <c:cat>
            <c:numRef>
              <c:f>Sheet1!$S$5:$S$15</c:f>
              <c:numCache>
                <c:formatCode>General</c:formatCode>
                <c:ptCount val="11"/>
                <c:pt idx="0">
                  <c:v>1900</c:v>
                </c:pt>
                <c:pt idx="1">
                  <c:v>1905</c:v>
                </c:pt>
                <c:pt idx="2">
                  <c:v>1910</c:v>
                </c:pt>
                <c:pt idx="3">
                  <c:v>1915</c:v>
                </c:pt>
                <c:pt idx="4">
                  <c:v>1920</c:v>
                </c:pt>
                <c:pt idx="5">
                  <c:v>1925</c:v>
                </c:pt>
                <c:pt idx="6">
                  <c:v>1930</c:v>
                </c:pt>
                <c:pt idx="7">
                  <c:v>1935</c:v>
                </c:pt>
                <c:pt idx="8">
                  <c:v>1940</c:v>
                </c:pt>
                <c:pt idx="9">
                  <c:v>1945</c:v>
                </c:pt>
                <c:pt idx="10">
                  <c:v>1950</c:v>
                </c:pt>
              </c:numCache>
            </c:numRef>
          </c:cat>
          <c:val>
            <c:numRef>
              <c:f>Sheet1!$X$5:$X$15</c:f>
              <c:numCache>
                <c:formatCode>General</c:formatCode>
                <c:ptCount val="11"/>
                <c:pt idx="0">
                  <c:v>96</c:v>
                </c:pt>
                <c:pt idx="1">
                  <c:v>106</c:v>
                </c:pt>
                <c:pt idx="2">
                  <c:v>74</c:v>
                </c:pt>
                <c:pt idx="3">
                  <c:v>150</c:v>
                </c:pt>
                <c:pt idx="4">
                  <c:v>100</c:v>
                </c:pt>
                <c:pt idx="5">
                  <c:v>124</c:v>
                </c:pt>
                <c:pt idx="6">
                  <c:v>76</c:v>
                </c:pt>
                <c:pt idx="7">
                  <c:v>94</c:v>
                </c:pt>
                <c:pt idx="8">
                  <c:v>90</c:v>
                </c:pt>
                <c:pt idx="9">
                  <c:v>113</c:v>
                </c:pt>
                <c:pt idx="10">
                  <c:v>55</c:v>
                </c:pt>
              </c:numCache>
            </c:numRef>
          </c:val>
          <c:smooth val="0"/>
        </c:ser>
        <c:dLbls>
          <c:showLegendKey val="0"/>
          <c:showVal val="0"/>
          <c:showCatName val="0"/>
          <c:showSerName val="0"/>
          <c:showPercent val="0"/>
          <c:showBubbleSize val="0"/>
        </c:dLbls>
        <c:marker val="1"/>
        <c:smooth val="0"/>
        <c:axId val="98870784"/>
        <c:axId val="98872320"/>
      </c:lineChart>
      <c:catAx>
        <c:axId val="98870784"/>
        <c:scaling>
          <c:orientation val="minMax"/>
        </c:scaling>
        <c:delete val="0"/>
        <c:axPos val="b"/>
        <c:majorGridlines/>
        <c:numFmt formatCode="General" sourceLinked="1"/>
        <c:majorTickMark val="out"/>
        <c:minorTickMark val="none"/>
        <c:tickLblPos val="nextTo"/>
        <c:crossAx val="98872320"/>
        <c:crosses val="autoZero"/>
        <c:auto val="1"/>
        <c:lblAlgn val="ctr"/>
        <c:lblOffset val="100"/>
        <c:noMultiLvlLbl val="0"/>
      </c:catAx>
      <c:valAx>
        <c:axId val="98872320"/>
        <c:scaling>
          <c:orientation val="minMax"/>
        </c:scaling>
        <c:delete val="0"/>
        <c:axPos val="l"/>
        <c:majorGridlines/>
        <c:numFmt formatCode="General" sourceLinked="1"/>
        <c:majorTickMark val="out"/>
        <c:minorTickMark val="none"/>
        <c:tickLblPos val="nextTo"/>
        <c:crossAx val="98870784"/>
        <c:crosses val="autoZero"/>
        <c:crossBetween val="midCat"/>
      </c:valAx>
    </c:plotArea>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sheetViews>
    <sheetView zoomScale="13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38"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138"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39" workbookViewId="0" zoomToFit="1"/>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139" workbookViewId="0" zoomToFit="1"/>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139" workbookViewId="0" zoomToFit="1"/>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138"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0"/>
    <xdr:ext cx="8669130" cy="62947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69130" cy="62947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9130" cy="62947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68435" cy="62906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68435" cy="62906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68435" cy="62906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69130" cy="6294783"/>
    <xdr:graphicFrame macro="">
      <xdr:nvGraphicFramePr>
        <xdr:cNvPr id="2" name="Chart 1" title="LH"/>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9"/>
  <sheetViews>
    <sheetView tabSelected="1" zoomScaleNormal="100" workbookViewId="0">
      <selection activeCell="G14" sqref="G14"/>
    </sheetView>
  </sheetViews>
  <sheetFormatPr defaultRowHeight="15" x14ac:dyDescent="0.25"/>
  <cols>
    <col min="14" max="14" width="9.5703125" bestFit="1" customWidth="1"/>
    <col min="19" max="19" width="9.5703125" bestFit="1" customWidth="1"/>
    <col min="20" max="20" width="12" customWidth="1"/>
    <col min="23" max="23" width="9.5703125" bestFit="1" customWidth="1"/>
  </cols>
  <sheetData>
    <row r="1" spans="1:39" ht="15.75" x14ac:dyDescent="0.25">
      <c r="A1" s="5" t="s">
        <v>2</v>
      </c>
      <c r="B1" s="5" t="s">
        <v>6</v>
      </c>
      <c r="C1" s="5" t="s">
        <v>5</v>
      </c>
      <c r="D1" s="5" t="s">
        <v>7</v>
      </c>
      <c r="E1" s="5" t="s">
        <v>1</v>
      </c>
      <c r="F1" s="5" t="s">
        <v>95</v>
      </c>
      <c r="G1" s="30" t="s">
        <v>96</v>
      </c>
      <c r="H1" s="30" t="s">
        <v>97</v>
      </c>
      <c r="I1" s="30" t="s">
        <v>98</v>
      </c>
      <c r="J1" s="5" t="s">
        <v>93</v>
      </c>
      <c r="K1" s="5" t="s">
        <v>86</v>
      </c>
      <c r="L1" s="5" t="s">
        <v>92</v>
      </c>
      <c r="M1" s="6" t="s">
        <v>99</v>
      </c>
      <c r="N1" s="5" t="s">
        <v>0</v>
      </c>
      <c r="P1" s="5" t="s">
        <v>91</v>
      </c>
      <c r="Q1" s="5" t="s">
        <v>108</v>
      </c>
      <c r="AB1" s="33" t="s">
        <v>110</v>
      </c>
    </row>
    <row r="2" spans="1:39" x14ac:dyDescent="0.25">
      <c r="A2">
        <v>1900</v>
      </c>
      <c r="F2">
        <v>96</v>
      </c>
      <c r="G2" t="s">
        <v>94</v>
      </c>
      <c r="H2" t="s">
        <v>94</v>
      </c>
      <c r="I2">
        <v>3</v>
      </c>
      <c r="J2">
        <v>9</v>
      </c>
      <c r="M2" s="2">
        <f>I2/F2</f>
        <v>3.125E-2</v>
      </c>
      <c r="N2" s="1">
        <f>J2/F2</f>
        <v>9.375E-2</v>
      </c>
      <c r="AM2" t="s">
        <v>87</v>
      </c>
    </row>
    <row r="3" spans="1:39" x14ac:dyDescent="0.25">
      <c r="M3" s="2"/>
      <c r="N3" s="1"/>
      <c r="AL3">
        <v>1930</v>
      </c>
      <c r="AM3" s="2">
        <v>0.45783132530120479</v>
      </c>
    </row>
    <row r="4" spans="1:39" x14ac:dyDescent="0.25">
      <c r="A4">
        <v>1905</v>
      </c>
      <c r="F4">
        <v>106</v>
      </c>
      <c r="G4" t="s">
        <v>94</v>
      </c>
      <c r="H4" t="s">
        <v>94</v>
      </c>
      <c r="I4">
        <v>0</v>
      </c>
      <c r="J4">
        <v>0</v>
      </c>
      <c r="M4" s="2">
        <f t="shared" ref="M4:M31" si="0">I4/F4</f>
        <v>0</v>
      </c>
      <c r="N4" s="1">
        <f>J4/F4</f>
        <v>0</v>
      </c>
      <c r="AG4" t="s">
        <v>88</v>
      </c>
      <c r="AL4">
        <v>1931</v>
      </c>
      <c r="AM4" s="2">
        <v>0.73333333333333328</v>
      </c>
    </row>
    <row r="5" spans="1:39" x14ac:dyDescent="0.25">
      <c r="M5" s="2"/>
      <c r="N5" s="1"/>
      <c r="S5">
        <v>1900</v>
      </c>
      <c r="T5" s="7">
        <f>M2</f>
        <v>3.125E-2</v>
      </c>
      <c r="U5" s="4">
        <f>N2</f>
        <v>9.375E-2</v>
      </c>
      <c r="V5">
        <v>3</v>
      </c>
      <c r="X5">
        <f>F2</f>
        <v>96</v>
      </c>
      <c r="AF5">
        <v>1930</v>
      </c>
      <c r="AG5">
        <v>166</v>
      </c>
      <c r="AL5">
        <v>1932</v>
      </c>
      <c r="AM5" s="2">
        <v>0.6071428571428571</v>
      </c>
    </row>
    <row r="6" spans="1:39" x14ac:dyDescent="0.25">
      <c r="A6">
        <v>1910</v>
      </c>
      <c r="B6">
        <v>92</v>
      </c>
      <c r="C6">
        <v>15</v>
      </c>
      <c r="E6">
        <v>0</v>
      </c>
      <c r="F6">
        <v>74</v>
      </c>
      <c r="G6" t="s">
        <v>94</v>
      </c>
      <c r="H6" t="s">
        <v>94</v>
      </c>
      <c r="I6">
        <v>0</v>
      </c>
      <c r="J6">
        <v>0</v>
      </c>
      <c r="M6" s="2">
        <f t="shared" si="0"/>
        <v>0</v>
      </c>
      <c r="N6" s="1">
        <f>J6/F6</f>
        <v>0</v>
      </c>
      <c r="S6">
        <v>1905</v>
      </c>
      <c r="T6" s="7">
        <f>M4</f>
        <v>0</v>
      </c>
      <c r="U6" s="4">
        <f>N4</f>
        <v>0</v>
      </c>
      <c r="V6">
        <v>0</v>
      </c>
      <c r="X6">
        <f>F4</f>
        <v>106</v>
      </c>
      <c r="AF6">
        <v>1931</v>
      </c>
      <c r="AG6">
        <v>150</v>
      </c>
      <c r="AL6">
        <v>1933</v>
      </c>
      <c r="AM6" s="2">
        <v>0.56329113924050633</v>
      </c>
    </row>
    <row r="7" spans="1:39" x14ac:dyDescent="0.25">
      <c r="M7" s="2"/>
      <c r="S7">
        <v>1910</v>
      </c>
      <c r="T7" s="7">
        <f>M6</f>
        <v>0</v>
      </c>
      <c r="U7" s="4">
        <f>N6</f>
        <v>0</v>
      </c>
      <c r="V7">
        <v>0</v>
      </c>
      <c r="X7">
        <f>F6</f>
        <v>74</v>
      </c>
      <c r="AF7">
        <v>1932</v>
      </c>
      <c r="AG7">
        <v>168</v>
      </c>
      <c r="AL7">
        <v>1934</v>
      </c>
      <c r="AM7" s="2">
        <v>0.57692307692307687</v>
      </c>
    </row>
    <row r="8" spans="1:39" x14ac:dyDescent="0.25">
      <c r="A8">
        <v>1915</v>
      </c>
      <c r="B8">
        <v>168</v>
      </c>
      <c r="C8">
        <v>11</v>
      </c>
      <c r="E8">
        <v>9</v>
      </c>
      <c r="F8">
        <v>150</v>
      </c>
      <c r="G8" t="s">
        <v>94</v>
      </c>
      <c r="H8" t="s">
        <v>94</v>
      </c>
      <c r="I8">
        <v>8</v>
      </c>
      <c r="J8">
        <v>39</v>
      </c>
      <c r="M8" s="2">
        <f t="shared" si="0"/>
        <v>5.3333333333333337E-2</v>
      </c>
      <c r="N8" s="1">
        <f>J8/F8</f>
        <v>0.26</v>
      </c>
      <c r="S8">
        <v>1915</v>
      </c>
      <c r="T8" s="7">
        <f>M8</f>
        <v>5.3333333333333337E-2</v>
      </c>
      <c r="U8" s="4">
        <f>N8</f>
        <v>0.26</v>
      </c>
      <c r="V8">
        <v>4.9000000000000004</v>
      </c>
      <c r="X8">
        <f>F8</f>
        <v>150</v>
      </c>
      <c r="AF8">
        <v>1933</v>
      </c>
      <c r="AG8">
        <v>158</v>
      </c>
      <c r="AM8" s="7">
        <f>AVERAGE(AM3:AM7)</f>
        <v>0.58770434638819569</v>
      </c>
    </row>
    <row r="9" spans="1:39" x14ac:dyDescent="0.25">
      <c r="M9" s="2"/>
      <c r="S9">
        <v>1920</v>
      </c>
      <c r="T9" s="7">
        <f>M10</f>
        <v>0.09</v>
      </c>
      <c r="U9" s="4">
        <f>N10</f>
        <v>0.55000000000000004</v>
      </c>
      <c r="V9">
        <v>6.1</v>
      </c>
      <c r="X9">
        <f>F10</f>
        <v>100</v>
      </c>
      <c r="AF9">
        <v>1934</v>
      </c>
      <c r="AG9">
        <v>156</v>
      </c>
    </row>
    <row r="10" spans="1:39" x14ac:dyDescent="0.25">
      <c r="A10">
        <v>1920</v>
      </c>
      <c r="B10">
        <v>135</v>
      </c>
      <c r="C10">
        <v>20</v>
      </c>
      <c r="E10">
        <v>9</v>
      </c>
      <c r="F10">
        <v>100</v>
      </c>
      <c r="G10" t="s">
        <v>94</v>
      </c>
      <c r="H10" t="s">
        <v>94</v>
      </c>
      <c r="I10">
        <v>9</v>
      </c>
      <c r="J10">
        <v>55</v>
      </c>
      <c r="M10" s="2">
        <f t="shared" si="0"/>
        <v>0.09</v>
      </c>
      <c r="N10" s="1">
        <f>J10/F10</f>
        <v>0.55000000000000004</v>
      </c>
      <c r="S10">
        <v>1925</v>
      </c>
      <c r="T10" s="7">
        <f>M12</f>
        <v>5.6451612903225805E-2</v>
      </c>
      <c r="U10" s="4">
        <f>N12</f>
        <v>0.23387096774193547</v>
      </c>
      <c r="V10">
        <v>4.0999999999999996</v>
      </c>
      <c r="X10">
        <f>F12</f>
        <v>124</v>
      </c>
      <c r="AG10">
        <f>AVERAGE(AG5:AG9)</f>
        <v>159.6</v>
      </c>
    </row>
    <row r="11" spans="1:39" x14ac:dyDescent="0.25">
      <c r="M11" s="2"/>
      <c r="S11">
        <v>1930</v>
      </c>
      <c r="T11" s="7">
        <f>M14</f>
        <v>0.17105263157894737</v>
      </c>
      <c r="U11" s="4">
        <f>N14</f>
        <v>0.39473684210526316</v>
      </c>
      <c r="V11">
        <v>2.2999999999999998</v>
      </c>
      <c r="X11">
        <f>F14</f>
        <v>76</v>
      </c>
      <c r="AL11">
        <v>1935</v>
      </c>
      <c r="AM11" s="2">
        <v>0.64827586206896548</v>
      </c>
    </row>
    <row r="12" spans="1:39" x14ac:dyDescent="0.25">
      <c r="A12">
        <v>1925</v>
      </c>
      <c r="B12">
        <v>140</v>
      </c>
      <c r="C12">
        <v>10</v>
      </c>
      <c r="E12">
        <v>7</v>
      </c>
      <c r="F12">
        <v>124</v>
      </c>
      <c r="G12" t="s">
        <v>94</v>
      </c>
      <c r="H12" t="s">
        <v>94</v>
      </c>
      <c r="I12">
        <v>7</v>
      </c>
      <c r="J12">
        <v>29</v>
      </c>
      <c r="M12" s="2">
        <f t="shared" si="0"/>
        <v>5.6451612903225805E-2</v>
      </c>
      <c r="N12" s="1">
        <f>J12/F12</f>
        <v>0.23387096774193547</v>
      </c>
      <c r="S12">
        <v>1935</v>
      </c>
      <c r="T12" s="7">
        <f>M19</f>
        <v>0.20212765957446807</v>
      </c>
      <c r="U12" s="4">
        <f>N19</f>
        <v>0.71276595744680848</v>
      </c>
      <c r="V12">
        <v>3.4</v>
      </c>
      <c r="X12">
        <f>F19</f>
        <v>94</v>
      </c>
      <c r="AF12">
        <v>1935</v>
      </c>
      <c r="AG12">
        <v>145</v>
      </c>
      <c r="AL12">
        <v>1936</v>
      </c>
      <c r="AM12" s="2">
        <v>0.5436241610738255</v>
      </c>
    </row>
    <row r="13" spans="1:39" x14ac:dyDescent="0.25">
      <c r="M13" s="2"/>
      <c r="S13">
        <v>1940</v>
      </c>
      <c r="T13" s="7">
        <f>M24</f>
        <v>0.44444444444444442</v>
      </c>
      <c r="U13" s="4">
        <f>N24</f>
        <v>3.3111111111111109</v>
      </c>
      <c r="V13">
        <v>7.5</v>
      </c>
      <c r="X13">
        <f>F24</f>
        <v>90</v>
      </c>
      <c r="AF13">
        <v>1936</v>
      </c>
      <c r="AG13">
        <v>149</v>
      </c>
      <c r="AL13">
        <v>1937</v>
      </c>
      <c r="AM13" s="2">
        <v>0.61184210526315785</v>
      </c>
    </row>
    <row r="14" spans="1:39" x14ac:dyDescent="0.25">
      <c r="A14">
        <v>1930</v>
      </c>
      <c r="B14">
        <v>83</v>
      </c>
      <c r="C14">
        <v>5</v>
      </c>
      <c r="D14">
        <v>4</v>
      </c>
      <c r="E14">
        <v>13</v>
      </c>
      <c r="F14">
        <v>76</v>
      </c>
      <c r="G14">
        <v>63</v>
      </c>
      <c r="H14">
        <v>0</v>
      </c>
      <c r="I14">
        <f>F14-G14+H14</f>
        <v>13</v>
      </c>
      <c r="J14">
        <v>30</v>
      </c>
      <c r="K14">
        <v>166</v>
      </c>
      <c r="L14" s="2">
        <f t="shared" ref="L14:L29" si="1">F14/K14</f>
        <v>0.45783132530120479</v>
      </c>
      <c r="M14" s="2">
        <f t="shared" si="0"/>
        <v>0.17105263157894737</v>
      </c>
      <c r="N14" s="1">
        <f t="shared" ref="N14:N23" si="2">J14/F14</f>
        <v>0.39473684210526316</v>
      </c>
      <c r="P14" s="2">
        <f t="shared" ref="P14:P31" si="3">E14/(B14-C14)</f>
        <v>0.16666666666666666</v>
      </c>
      <c r="Q14" s="2"/>
      <c r="S14">
        <v>1945</v>
      </c>
      <c r="T14" s="7">
        <f>M29</f>
        <v>0.47787610619469029</v>
      </c>
      <c r="U14" s="4">
        <f>N29</f>
        <v>3.8141592920353982</v>
      </c>
      <c r="V14">
        <v>8</v>
      </c>
      <c r="X14">
        <f>F29</f>
        <v>113</v>
      </c>
      <c r="AF14">
        <v>1937</v>
      </c>
      <c r="AG14">
        <v>152</v>
      </c>
      <c r="AL14">
        <v>1938</v>
      </c>
      <c r="AM14" s="2">
        <v>0.64028776978417268</v>
      </c>
    </row>
    <row r="15" spans="1:39" x14ac:dyDescent="0.25">
      <c r="A15">
        <v>1931</v>
      </c>
      <c r="B15">
        <v>127</v>
      </c>
      <c r="C15">
        <v>11</v>
      </c>
      <c r="D15">
        <v>9</v>
      </c>
      <c r="E15">
        <v>17</v>
      </c>
      <c r="F15">
        <v>111</v>
      </c>
      <c r="G15">
        <v>95</v>
      </c>
      <c r="H15">
        <v>1</v>
      </c>
      <c r="I15">
        <f t="shared" ref="I15:I31" si="4">F15-G15+H15</f>
        <v>17</v>
      </c>
      <c r="J15">
        <v>111</v>
      </c>
      <c r="K15">
        <v>150</v>
      </c>
      <c r="L15" s="2">
        <f t="shared" si="1"/>
        <v>0.74</v>
      </c>
      <c r="M15" s="2">
        <f t="shared" si="0"/>
        <v>0.15315315315315314</v>
      </c>
      <c r="N15" s="4">
        <f t="shared" si="2"/>
        <v>1</v>
      </c>
      <c r="P15" s="2">
        <f t="shared" si="3"/>
        <v>0.14655172413793102</v>
      </c>
      <c r="Q15" s="2"/>
      <c r="S15">
        <v>1950</v>
      </c>
      <c r="T15" s="7">
        <f>M31</f>
        <v>0.49090909090909091</v>
      </c>
      <c r="U15" s="4">
        <f>N31</f>
        <v>4.5999999999999996</v>
      </c>
      <c r="V15">
        <v>8.4</v>
      </c>
      <c r="X15">
        <f>F31</f>
        <v>55</v>
      </c>
      <c r="AF15">
        <v>1938</v>
      </c>
      <c r="AG15">
        <v>139</v>
      </c>
      <c r="AL15">
        <v>1939</v>
      </c>
      <c r="AM15" s="2">
        <v>0.61313868613138689</v>
      </c>
    </row>
    <row r="16" spans="1:39" x14ac:dyDescent="0.25">
      <c r="A16">
        <v>1932</v>
      </c>
      <c r="B16">
        <v>121</v>
      </c>
      <c r="C16">
        <v>13</v>
      </c>
      <c r="D16">
        <v>5</v>
      </c>
      <c r="E16">
        <v>22</v>
      </c>
      <c r="F16">
        <v>102</v>
      </c>
      <c r="G16">
        <v>82</v>
      </c>
      <c r="H16">
        <v>1</v>
      </c>
      <c r="I16">
        <f t="shared" si="4"/>
        <v>21</v>
      </c>
      <c r="J16">
        <v>99</v>
      </c>
      <c r="K16">
        <v>168</v>
      </c>
      <c r="L16" s="2">
        <f t="shared" si="1"/>
        <v>0.6071428571428571</v>
      </c>
      <c r="M16" s="2">
        <f t="shared" si="0"/>
        <v>0.20588235294117646</v>
      </c>
      <c r="N16" s="4">
        <f t="shared" si="2"/>
        <v>0.97058823529411764</v>
      </c>
      <c r="P16" s="2">
        <f t="shared" si="3"/>
        <v>0.20370370370370369</v>
      </c>
      <c r="Q16" s="2"/>
      <c r="AF16">
        <v>1939</v>
      </c>
      <c r="AG16">
        <v>137</v>
      </c>
      <c r="AM16" s="7">
        <f>AVERAGE(AM3:AM15)</f>
        <v>0.59849042387733475</v>
      </c>
    </row>
    <row r="17" spans="1:39" x14ac:dyDescent="0.25">
      <c r="A17">
        <v>1933</v>
      </c>
      <c r="B17">
        <v>108</v>
      </c>
      <c r="C17">
        <v>14</v>
      </c>
      <c r="D17">
        <v>7</v>
      </c>
      <c r="E17">
        <v>23</v>
      </c>
      <c r="F17">
        <v>89</v>
      </c>
      <c r="G17">
        <v>68</v>
      </c>
      <c r="H17">
        <v>0</v>
      </c>
      <c r="I17">
        <f t="shared" si="4"/>
        <v>21</v>
      </c>
      <c r="J17">
        <v>154</v>
      </c>
      <c r="K17">
        <v>158</v>
      </c>
      <c r="L17" s="2">
        <f t="shared" si="1"/>
        <v>0.56329113924050633</v>
      </c>
      <c r="M17" s="2">
        <f t="shared" si="0"/>
        <v>0.23595505617977527</v>
      </c>
      <c r="N17" s="4">
        <f t="shared" si="2"/>
        <v>1.7303370786516854</v>
      </c>
      <c r="P17" s="2">
        <f t="shared" si="3"/>
        <v>0.24468085106382978</v>
      </c>
      <c r="Q17" s="2"/>
      <c r="AG17">
        <f>AVERAGE(AG12:AG16)</f>
        <v>144.4</v>
      </c>
    </row>
    <row r="18" spans="1:39" x14ac:dyDescent="0.25">
      <c r="A18">
        <v>1934</v>
      </c>
      <c r="B18">
        <v>102</v>
      </c>
      <c r="C18">
        <v>4</v>
      </c>
      <c r="D18">
        <v>4</v>
      </c>
      <c r="E18">
        <v>23</v>
      </c>
      <c r="F18">
        <v>90</v>
      </c>
      <c r="G18">
        <v>68</v>
      </c>
      <c r="H18">
        <v>0</v>
      </c>
      <c r="I18" s="15">
        <f t="shared" si="4"/>
        <v>22</v>
      </c>
      <c r="J18">
        <v>63</v>
      </c>
      <c r="K18">
        <v>156</v>
      </c>
      <c r="L18" s="2">
        <f t="shared" si="1"/>
        <v>0.57692307692307687</v>
      </c>
      <c r="M18" s="2">
        <f t="shared" si="0"/>
        <v>0.24444444444444444</v>
      </c>
      <c r="N18" s="4">
        <f t="shared" si="2"/>
        <v>0.7</v>
      </c>
      <c r="P18" s="2">
        <f t="shared" si="3"/>
        <v>0.23469387755102042</v>
      </c>
      <c r="Q18" s="2"/>
      <c r="S18" s="9" t="s">
        <v>100</v>
      </c>
      <c r="U18" s="9" t="s">
        <v>101</v>
      </c>
      <c r="W18" s="9" t="s">
        <v>82</v>
      </c>
      <c r="Z18" s="9" t="s">
        <v>83</v>
      </c>
      <c r="AL18">
        <v>1940</v>
      </c>
      <c r="AM18" s="2">
        <v>0.54545454545454541</v>
      </c>
    </row>
    <row r="19" spans="1:39" x14ac:dyDescent="0.25">
      <c r="A19">
        <v>1935</v>
      </c>
      <c r="B19">
        <v>115</v>
      </c>
      <c r="C19">
        <v>12</v>
      </c>
      <c r="D19">
        <v>4</v>
      </c>
      <c r="E19">
        <v>21</v>
      </c>
      <c r="F19">
        <v>94</v>
      </c>
      <c r="G19">
        <v>76</v>
      </c>
      <c r="H19">
        <v>1</v>
      </c>
      <c r="I19">
        <f t="shared" si="4"/>
        <v>19</v>
      </c>
      <c r="J19">
        <v>67</v>
      </c>
      <c r="K19">
        <v>145</v>
      </c>
      <c r="L19" s="2">
        <f t="shared" si="1"/>
        <v>0.64827586206896548</v>
      </c>
      <c r="M19" s="32">
        <f t="shared" si="0"/>
        <v>0.20212765957446807</v>
      </c>
      <c r="N19" s="1">
        <f t="shared" si="2"/>
        <v>0.71276595744680848</v>
      </c>
      <c r="P19" s="2">
        <f t="shared" si="3"/>
        <v>0.20388349514563106</v>
      </c>
      <c r="Q19" s="2"/>
      <c r="S19" s="10">
        <v>0.39473684210526316</v>
      </c>
      <c r="U19" s="4">
        <v>3.3111111111111109</v>
      </c>
      <c r="W19">
        <v>76</v>
      </c>
      <c r="X19">
        <v>30</v>
      </c>
      <c r="Z19">
        <v>90</v>
      </c>
      <c r="AA19">
        <v>298</v>
      </c>
      <c r="AF19">
        <v>1940</v>
      </c>
      <c r="AG19">
        <v>165</v>
      </c>
      <c r="AL19">
        <v>1941</v>
      </c>
      <c r="AM19" s="2">
        <v>0.64900662251655628</v>
      </c>
    </row>
    <row r="20" spans="1:39" x14ac:dyDescent="0.25">
      <c r="A20">
        <v>1936</v>
      </c>
      <c r="B20">
        <v>100</v>
      </c>
      <c r="C20">
        <v>8</v>
      </c>
      <c r="D20">
        <v>4</v>
      </c>
      <c r="E20">
        <v>13</v>
      </c>
      <c r="F20">
        <v>82</v>
      </c>
      <c r="G20">
        <v>72</v>
      </c>
      <c r="H20">
        <v>3</v>
      </c>
      <c r="I20">
        <f t="shared" si="4"/>
        <v>13</v>
      </c>
      <c r="J20">
        <v>43</v>
      </c>
      <c r="K20">
        <v>149</v>
      </c>
      <c r="L20" s="2">
        <f t="shared" si="1"/>
        <v>0.55033557046979864</v>
      </c>
      <c r="M20" s="2">
        <f t="shared" si="0"/>
        <v>0.15853658536585366</v>
      </c>
      <c r="N20" s="4">
        <f t="shared" si="2"/>
        <v>0.52439024390243905</v>
      </c>
      <c r="P20" s="2">
        <f t="shared" si="3"/>
        <v>0.14130434782608695</v>
      </c>
      <c r="Q20" s="2"/>
      <c r="S20" s="10">
        <v>1</v>
      </c>
      <c r="U20" s="4">
        <v>3.010204081632653</v>
      </c>
      <c r="W20">
        <v>110</v>
      </c>
      <c r="X20">
        <v>111</v>
      </c>
      <c r="Z20">
        <v>98</v>
      </c>
      <c r="AA20">
        <v>295</v>
      </c>
      <c r="AF20">
        <v>1941</v>
      </c>
      <c r="AG20">
        <v>151</v>
      </c>
      <c r="AL20">
        <v>1942</v>
      </c>
      <c r="AM20" s="2">
        <v>0.75510204081632648</v>
      </c>
    </row>
    <row r="21" spans="1:39" x14ac:dyDescent="0.25">
      <c r="A21">
        <v>1937</v>
      </c>
      <c r="B21">
        <v>123</v>
      </c>
      <c r="C21">
        <v>15</v>
      </c>
      <c r="D21">
        <v>6</v>
      </c>
      <c r="E21">
        <v>20</v>
      </c>
      <c r="F21">
        <v>93</v>
      </c>
      <c r="G21">
        <v>73</v>
      </c>
      <c r="H21">
        <v>0</v>
      </c>
      <c r="I21">
        <f t="shared" si="4"/>
        <v>20</v>
      </c>
      <c r="J21">
        <v>98</v>
      </c>
      <c r="K21">
        <v>152</v>
      </c>
      <c r="L21" s="2">
        <f t="shared" si="1"/>
        <v>0.61184210526315785</v>
      </c>
      <c r="M21" s="2">
        <f t="shared" si="0"/>
        <v>0.21505376344086022</v>
      </c>
      <c r="N21" s="4">
        <f t="shared" si="2"/>
        <v>1.053763440860215</v>
      </c>
      <c r="P21" s="2">
        <f t="shared" si="3"/>
        <v>0.18518518518518517</v>
      </c>
      <c r="Q21" s="2"/>
      <c r="S21" s="10">
        <v>0.97058823529411764</v>
      </c>
      <c r="U21" s="4">
        <v>2.2342342342342341</v>
      </c>
      <c r="W21">
        <v>102</v>
      </c>
      <c r="X21">
        <v>99</v>
      </c>
      <c r="Z21">
        <v>111</v>
      </c>
      <c r="AA21">
        <v>248</v>
      </c>
      <c r="AF21">
        <v>1942</v>
      </c>
      <c r="AG21">
        <v>147</v>
      </c>
      <c r="AL21">
        <v>1943</v>
      </c>
      <c r="AM21" s="2">
        <v>0.89230769230769236</v>
      </c>
    </row>
    <row r="22" spans="1:39" x14ac:dyDescent="0.25">
      <c r="A22">
        <v>1938</v>
      </c>
      <c r="B22">
        <v>132</v>
      </c>
      <c r="C22">
        <v>30</v>
      </c>
      <c r="D22">
        <v>20</v>
      </c>
      <c r="E22">
        <v>21</v>
      </c>
      <c r="F22">
        <v>89</v>
      </c>
      <c r="G22">
        <v>70</v>
      </c>
      <c r="H22">
        <v>1</v>
      </c>
      <c r="I22">
        <f t="shared" si="4"/>
        <v>20</v>
      </c>
      <c r="J22">
        <v>76</v>
      </c>
      <c r="K22">
        <v>139</v>
      </c>
      <c r="L22" s="2">
        <f t="shared" si="1"/>
        <v>0.64028776978417268</v>
      </c>
      <c r="M22" s="2">
        <f t="shared" si="0"/>
        <v>0.2247191011235955</v>
      </c>
      <c r="N22" s="4">
        <f t="shared" si="2"/>
        <v>0.8539325842696629</v>
      </c>
      <c r="P22" s="2">
        <f t="shared" si="3"/>
        <v>0.20588235294117646</v>
      </c>
      <c r="Q22" s="2"/>
      <c r="S22" s="10">
        <v>1.7303370786516854</v>
      </c>
      <c r="U22" s="4">
        <v>4.5603448275862073</v>
      </c>
      <c r="W22">
        <v>89</v>
      </c>
      <c r="X22">
        <v>154</v>
      </c>
      <c r="Z22">
        <v>116</v>
      </c>
      <c r="AA22">
        <v>529</v>
      </c>
      <c r="AF22">
        <v>1943</v>
      </c>
      <c r="AG22">
        <v>130</v>
      </c>
      <c r="AL22">
        <v>1944</v>
      </c>
      <c r="AM22" s="2">
        <v>0.57051282051282048</v>
      </c>
    </row>
    <row r="23" spans="1:39" x14ac:dyDescent="0.25">
      <c r="A23">
        <v>1939</v>
      </c>
      <c r="B23">
        <v>112</v>
      </c>
      <c r="C23">
        <v>11</v>
      </c>
      <c r="D23">
        <v>5</v>
      </c>
      <c r="E23">
        <v>31</v>
      </c>
      <c r="F23">
        <v>84</v>
      </c>
      <c r="G23">
        <v>58</v>
      </c>
      <c r="H23">
        <v>3</v>
      </c>
      <c r="I23">
        <f t="shared" si="4"/>
        <v>29</v>
      </c>
      <c r="J23">
        <v>97</v>
      </c>
      <c r="K23">
        <v>137</v>
      </c>
      <c r="L23" s="2">
        <f t="shared" si="1"/>
        <v>0.61313868613138689</v>
      </c>
      <c r="M23" s="2">
        <f t="shared" si="0"/>
        <v>0.34523809523809523</v>
      </c>
      <c r="N23" s="4">
        <f t="shared" si="2"/>
        <v>1.1547619047619047</v>
      </c>
      <c r="P23" s="2">
        <f t="shared" si="3"/>
        <v>0.30693069306930693</v>
      </c>
      <c r="Q23" s="2"/>
      <c r="S23" s="10">
        <v>0.7</v>
      </c>
      <c r="U23" s="4">
        <v>4.2921348314606744</v>
      </c>
      <c r="W23">
        <v>90</v>
      </c>
      <c r="X23">
        <v>63</v>
      </c>
      <c r="Z23">
        <v>89</v>
      </c>
      <c r="AA23">
        <v>382</v>
      </c>
      <c r="AF23">
        <v>1944</v>
      </c>
      <c r="AG23">
        <v>156</v>
      </c>
      <c r="AL23">
        <v>1945</v>
      </c>
      <c r="AM23" s="2">
        <v>0.84328358208955223</v>
      </c>
    </row>
    <row r="24" spans="1:39" x14ac:dyDescent="0.25">
      <c r="A24">
        <v>1940</v>
      </c>
      <c r="B24">
        <v>125</v>
      </c>
      <c r="C24">
        <v>16</v>
      </c>
      <c r="D24">
        <v>8</v>
      </c>
      <c r="E24">
        <v>42</v>
      </c>
      <c r="F24">
        <v>90</v>
      </c>
      <c r="G24">
        <v>53</v>
      </c>
      <c r="H24">
        <v>3</v>
      </c>
      <c r="I24">
        <f t="shared" si="4"/>
        <v>40</v>
      </c>
      <c r="J24">
        <v>298</v>
      </c>
      <c r="K24">
        <v>165</v>
      </c>
      <c r="L24" s="2">
        <f t="shared" si="1"/>
        <v>0.54545454545454541</v>
      </c>
      <c r="M24" s="2">
        <f t="shared" si="0"/>
        <v>0.44444444444444442</v>
      </c>
      <c r="N24" s="1">
        <f t="shared" ref="N24:N29" si="5">+J24/F24</f>
        <v>3.3111111111111109</v>
      </c>
      <c r="P24" s="2">
        <f t="shared" si="3"/>
        <v>0.38532110091743121</v>
      </c>
      <c r="Q24" s="2">
        <f>(56+25)/J24</f>
        <v>0.27181208053691275</v>
      </c>
      <c r="S24" s="10">
        <v>0.71276595744680848</v>
      </c>
      <c r="U24" s="4">
        <v>3.8141592920353982</v>
      </c>
      <c r="W24">
        <v>94</v>
      </c>
      <c r="X24">
        <v>67</v>
      </c>
      <c r="Z24">
        <v>113</v>
      </c>
      <c r="AA24">
        <v>431</v>
      </c>
      <c r="AF24">
        <v>1945</v>
      </c>
      <c r="AG24">
        <v>134</v>
      </c>
      <c r="AM24" s="7">
        <f>AVERAGE(AM18:AM23)</f>
        <v>0.70927788394958213</v>
      </c>
    </row>
    <row r="25" spans="1:39" x14ac:dyDescent="0.25">
      <c r="A25">
        <v>1941</v>
      </c>
      <c r="B25">
        <v>141</v>
      </c>
      <c r="C25">
        <v>18</v>
      </c>
      <c r="D25">
        <v>4</v>
      </c>
      <c r="E25">
        <v>45</v>
      </c>
      <c r="F25">
        <v>98</v>
      </c>
      <c r="G25">
        <v>61</v>
      </c>
      <c r="H25">
        <v>3</v>
      </c>
      <c r="I25">
        <f t="shared" si="4"/>
        <v>40</v>
      </c>
      <c r="J25">
        <v>295</v>
      </c>
      <c r="K25">
        <v>151</v>
      </c>
      <c r="L25" s="2">
        <f t="shared" si="1"/>
        <v>0.64900662251655628</v>
      </c>
      <c r="M25" s="2">
        <f t="shared" si="0"/>
        <v>0.40816326530612246</v>
      </c>
      <c r="N25" s="11">
        <f t="shared" si="5"/>
        <v>3.010204081632653</v>
      </c>
      <c r="P25" s="2">
        <f t="shared" si="3"/>
        <v>0.36585365853658536</v>
      </c>
      <c r="Q25" s="2">
        <f>(38+24)/J25</f>
        <v>0.21016949152542372</v>
      </c>
      <c r="S25" s="10">
        <v>0.52439024390243905</v>
      </c>
      <c r="U25" s="1">
        <f>AVERAGE(U19:U24)</f>
        <v>3.5370313963433802</v>
      </c>
      <c r="W25">
        <v>81</v>
      </c>
      <c r="X25">
        <v>43</v>
      </c>
      <c r="Z25">
        <f>SUM(Z19:Z24)</f>
        <v>617</v>
      </c>
      <c r="AA25">
        <f>SUM(AA19:AA24)</f>
        <v>2183</v>
      </c>
      <c r="AG25">
        <f>AVERAGE(AG19:AG24)</f>
        <v>147.16666666666666</v>
      </c>
    </row>
    <row r="26" spans="1:39" x14ac:dyDescent="0.25">
      <c r="A26">
        <v>1942</v>
      </c>
      <c r="B26">
        <v>151</v>
      </c>
      <c r="C26">
        <v>1</v>
      </c>
      <c r="E26">
        <v>48</v>
      </c>
      <c r="F26">
        <v>111</v>
      </c>
      <c r="G26">
        <v>71</v>
      </c>
      <c r="H26">
        <v>2</v>
      </c>
      <c r="I26">
        <f t="shared" si="4"/>
        <v>42</v>
      </c>
      <c r="J26">
        <v>248</v>
      </c>
      <c r="K26">
        <v>147</v>
      </c>
      <c r="L26" s="2">
        <f t="shared" si="1"/>
        <v>0.75510204081632648</v>
      </c>
      <c r="M26" s="2">
        <f t="shared" si="0"/>
        <v>0.3783783783783784</v>
      </c>
      <c r="N26" s="11">
        <f t="shared" si="5"/>
        <v>2.2342342342342341</v>
      </c>
      <c r="P26" s="2">
        <f t="shared" si="3"/>
        <v>0.32</v>
      </c>
      <c r="Q26" s="2">
        <f>(20+17)/J26</f>
        <v>0.14919354838709678</v>
      </c>
      <c r="S26" s="10">
        <v>1.053763440860215</v>
      </c>
      <c r="W26">
        <v>93</v>
      </c>
      <c r="X26">
        <v>98</v>
      </c>
      <c r="AA26" s="3">
        <f>2183/617</f>
        <v>3.5380875202593192</v>
      </c>
    </row>
    <row r="27" spans="1:39" x14ac:dyDescent="0.25">
      <c r="A27">
        <v>1943</v>
      </c>
      <c r="B27">
        <v>182</v>
      </c>
      <c r="C27">
        <v>6</v>
      </c>
      <c r="E27">
        <v>77</v>
      </c>
      <c r="F27">
        <v>116</v>
      </c>
      <c r="G27">
        <v>59</v>
      </c>
      <c r="H27">
        <v>4</v>
      </c>
      <c r="I27">
        <f t="shared" si="4"/>
        <v>61</v>
      </c>
      <c r="J27">
        <v>529</v>
      </c>
      <c r="K27">
        <v>130</v>
      </c>
      <c r="L27" s="2">
        <f t="shared" si="1"/>
        <v>0.89230769230769236</v>
      </c>
      <c r="M27" s="2">
        <f t="shared" si="0"/>
        <v>0.52586206896551724</v>
      </c>
      <c r="N27" s="11">
        <f t="shared" si="5"/>
        <v>4.5603448275862073</v>
      </c>
      <c r="P27" s="2">
        <f t="shared" si="3"/>
        <v>0.4375</v>
      </c>
      <c r="Q27" s="2">
        <f>(74+37)/J27</f>
        <v>0.20982986767485823</v>
      </c>
      <c r="S27" s="10">
        <v>0.8539325842696629</v>
      </c>
      <c r="W27">
        <v>89</v>
      </c>
      <c r="X27">
        <v>76</v>
      </c>
    </row>
    <row r="28" spans="1:39" x14ac:dyDescent="0.25">
      <c r="A28">
        <v>1944</v>
      </c>
      <c r="B28">
        <v>151</v>
      </c>
      <c r="C28">
        <v>6</v>
      </c>
      <c r="E28">
        <v>55</v>
      </c>
      <c r="F28">
        <v>89</v>
      </c>
      <c r="G28">
        <v>48</v>
      </c>
      <c r="H28">
        <v>3</v>
      </c>
      <c r="I28">
        <f t="shared" si="4"/>
        <v>44</v>
      </c>
      <c r="J28">
        <v>382</v>
      </c>
      <c r="K28">
        <v>156</v>
      </c>
      <c r="L28" s="2">
        <f t="shared" si="1"/>
        <v>0.57051282051282048</v>
      </c>
      <c r="M28" s="2">
        <f t="shared" si="0"/>
        <v>0.4943820224719101</v>
      </c>
      <c r="N28" s="11">
        <f t="shared" si="5"/>
        <v>4.2921348314606744</v>
      </c>
      <c r="P28" s="2">
        <f t="shared" si="3"/>
        <v>0.37931034482758619</v>
      </c>
      <c r="Q28" s="2">
        <f>(60+34)/J28</f>
        <v>0.24607329842931938</v>
      </c>
      <c r="S28" s="10">
        <v>1.1547619047619047</v>
      </c>
      <c r="W28">
        <v>84</v>
      </c>
      <c r="X28">
        <v>97</v>
      </c>
    </row>
    <row r="29" spans="1:39" x14ac:dyDescent="0.25">
      <c r="A29">
        <v>1945</v>
      </c>
      <c r="B29">
        <v>190</v>
      </c>
      <c r="C29">
        <v>7</v>
      </c>
      <c r="E29">
        <v>70</v>
      </c>
      <c r="F29">
        <v>113</v>
      </c>
      <c r="G29">
        <v>64</v>
      </c>
      <c r="H29">
        <v>5</v>
      </c>
      <c r="I29">
        <f t="shared" si="4"/>
        <v>54</v>
      </c>
      <c r="J29">
        <v>431</v>
      </c>
      <c r="K29">
        <v>134</v>
      </c>
      <c r="L29" s="2">
        <f t="shared" si="1"/>
        <v>0.84328358208955223</v>
      </c>
      <c r="M29" s="2">
        <f t="shared" si="0"/>
        <v>0.47787610619469029</v>
      </c>
      <c r="N29" s="1">
        <f t="shared" si="5"/>
        <v>3.8141592920353982</v>
      </c>
      <c r="P29" s="2">
        <f t="shared" si="3"/>
        <v>0.38251366120218577</v>
      </c>
      <c r="Q29" s="2">
        <f>(34+32)/J29</f>
        <v>0.1531322505800464</v>
      </c>
      <c r="S29" s="8">
        <f>AVERAGE(S19:S28)</f>
        <v>0.90952762872920956</v>
      </c>
      <c r="W29">
        <f>SUM(W19:W28)</f>
        <v>908</v>
      </c>
      <c r="X29">
        <f>SUM(X19:X28)</f>
        <v>838</v>
      </c>
    </row>
    <row r="30" spans="1:39" x14ac:dyDescent="0.25">
      <c r="L30" s="2"/>
      <c r="M30" s="2"/>
      <c r="P30" s="2"/>
      <c r="X30" s="8">
        <f>794/907</f>
        <v>0.8754134509371555</v>
      </c>
    </row>
    <row r="31" spans="1:39" x14ac:dyDescent="0.25">
      <c r="A31">
        <v>1950</v>
      </c>
      <c r="B31">
        <v>123</v>
      </c>
      <c r="C31">
        <v>26</v>
      </c>
      <c r="E31">
        <v>39</v>
      </c>
      <c r="F31">
        <v>55</v>
      </c>
      <c r="G31">
        <v>30</v>
      </c>
      <c r="H31">
        <v>2</v>
      </c>
      <c r="I31">
        <f t="shared" si="4"/>
        <v>27</v>
      </c>
      <c r="J31">
        <v>253</v>
      </c>
      <c r="K31">
        <v>91</v>
      </c>
      <c r="L31" s="2">
        <f>F31/K31</f>
        <v>0.60439560439560436</v>
      </c>
      <c r="M31" s="2">
        <f t="shared" si="0"/>
        <v>0.49090909090909091</v>
      </c>
      <c r="N31" s="1">
        <f>+J31/F31</f>
        <v>4.5999999999999996</v>
      </c>
      <c r="P31" s="2">
        <f t="shared" si="3"/>
        <v>0.40206185567010311</v>
      </c>
      <c r="S31" s="3" t="s">
        <v>3</v>
      </c>
      <c r="T31" s="3"/>
      <c r="U31" s="3">
        <f>U25/S29</f>
        <v>3.8888663572378932</v>
      </c>
      <c r="Y31" t="s">
        <v>84</v>
      </c>
      <c r="AA31" s="3">
        <f>AA26/X30</f>
        <v>4.0416188676010103</v>
      </c>
    </row>
    <row r="33" spans="19:29" x14ac:dyDescent="0.25">
      <c r="S33" s="9" t="s">
        <v>102</v>
      </c>
      <c r="U33" s="9" t="s">
        <v>103</v>
      </c>
      <c r="Y33" s="29" t="s">
        <v>85</v>
      </c>
    </row>
    <row r="34" spans="19:29" x14ac:dyDescent="0.25">
      <c r="S34" s="2">
        <v>0.17105263157894737</v>
      </c>
      <c r="U34" s="2">
        <v>0.44444444444444442</v>
      </c>
      <c r="Y34" s="3">
        <f>AA34/Z34</f>
        <v>3.6328028047713663</v>
      </c>
      <c r="Z34">
        <v>0.78877887788778878</v>
      </c>
      <c r="AA34">
        <v>2.8654781199351702</v>
      </c>
    </row>
    <row r="35" spans="19:29" x14ac:dyDescent="0.25">
      <c r="S35" s="2">
        <v>0.15315315315315314</v>
      </c>
      <c r="U35" s="2">
        <v>0.40816326530612246</v>
      </c>
    </row>
    <row r="36" spans="19:29" x14ac:dyDescent="0.25">
      <c r="S36" s="2">
        <v>0.20588235294117646</v>
      </c>
      <c r="U36" s="2">
        <v>0.3783783783783784</v>
      </c>
    </row>
    <row r="37" spans="19:29" x14ac:dyDescent="0.25">
      <c r="S37" s="2">
        <v>0.23595505617977527</v>
      </c>
      <c r="U37" s="2">
        <v>0.52586206896551724</v>
      </c>
      <c r="X37" s="9" t="s">
        <v>82</v>
      </c>
      <c r="AB37" s="9" t="s">
        <v>83</v>
      </c>
    </row>
    <row r="38" spans="19:29" x14ac:dyDescent="0.25">
      <c r="S38" s="2">
        <v>0.24444444444444444</v>
      </c>
      <c r="U38" s="2">
        <v>0.4943820224719101</v>
      </c>
      <c r="X38">
        <v>76</v>
      </c>
      <c r="Y38">
        <v>13</v>
      </c>
      <c r="AB38">
        <v>90</v>
      </c>
      <c r="AC38">
        <v>40</v>
      </c>
    </row>
    <row r="39" spans="19:29" x14ac:dyDescent="0.25">
      <c r="S39" s="2">
        <v>0.20212765957446807</v>
      </c>
      <c r="U39" s="2">
        <v>0.47787610619469029</v>
      </c>
      <c r="X39">
        <v>110</v>
      </c>
      <c r="Y39">
        <v>17</v>
      </c>
      <c r="AB39">
        <v>98</v>
      </c>
      <c r="AC39">
        <v>40</v>
      </c>
    </row>
    <row r="40" spans="19:29" x14ac:dyDescent="0.25">
      <c r="S40" s="2">
        <v>0.15853658536585366</v>
      </c>
      <c r="U40" s="12">
        <f>AVERAGE(U34:U39)</f>
        <v>0.45485104762684375</v>
      </c>
      <c r="X40">
        <v>102</v>
      </c>
      <c r="Y40">
        <v>21</v>
      </c>
      <c r="AB40">
        <v>111</v>
      </c>
      <c r="AC40">
        <v>42</v>
      </c>
    </row>
    <row r="41" spans="19:29" x14ac:dyDescent="0.25">
      <c r="S41" s="2">
        <v>0.21505376344086022</v>
      </c>
      <c r="X41">
        <v>89</v>
      </c>
      <c r="Y41">
        <v>20</v>
      </c>
      <c r="AB41">
        <v>116</v>
      </c>
      <c r="AC41">
        <v>61</v>
      </c>
    </row>
    <row r="42" spans="19:29" x14ac:dyDescent="0.25">
      <c r="S42" s="2">
        <v>0.2247191011235955</v>
      </c>
      <c r="X42">
        <v>90</v>
      </c>
      <c r="Y42">
        <v>22</v>
      </c>
      <c r="AB42">
        <v>89</v>
      </c>
      <c r="AC42">
        <v>44</v>
      </c>
    </row>
    <row r="43" spans="19:29" x14ac:dyDescent="0.25">
      <c r="S43" s="2">
        <v>0.34523809523809523</v>
      </c>
      <c r="X43">
        <v>94</v>
      </c>
      <c r="Y43">
        <v>20</v>
      </c>
      <c r="AB43">
        <v>113</v>
      </c>
      <c r="AC43">
        <v>54</v>
      </c>
    </row>
    <row r="44" spans="19:29" x14ac:dyDescent="0.25">
      <c r="S44" s="12">
        <f>AVERAGE(S34:S43)</f>
        <v>0.21561628430403693</v>
      </c>
      <c r="X44">
        <v>81</v>
      </c>
      <c r="Y44">
        <v>13</v>
      </c>
      <c r="AB44">
        <f>SUM(AB38:AB43)</f>
        <v>617</v>
      </c>
      <c r="AC44">
        <f>SUM(AC38:AC43)</f>
        <v>281</v>
      </c>
    </row>
    <row r="45" spans="19:29" x14ac:dyDescent="0.25">
      <c r="X45">
        <v>93</v>
      </c>
      <c r="Y45">
        <v>20</v>
      </c>
      <c r="AC45">
        <f>281/617</f>
        <v>0.45542949756888168</v>
      </c>
    </row>
    <row r="46" spans="19:29" x14ac:dyDescent="0.25">
      <c r="S46" s="3" t="s">
        <v>4</v>
      </c>
      <c r="T46" s="3"/>
      <c r="U46" s="3">
        <f>U40/S44</f>
        <v>2.1095394028099745</v>
      </c>
      <c r="X46">
        <v>89</v>
      </c>
      <c r="Y46">
        <v>20</v>
      </c>
    </row>
    <row r="47" spans="19:29" x14ac:dyDescent="0.25">
      <c r="X47">
        <v>84</v>
      </c>
      <c r="Y47">
        <v>29</v>
      </c>
    </row>
    <row r="48" spans="19:29" x14ac:dyDescent="0.25">
      <c r="X48">
        <f>SUM(X38:X47)</f>
        <v>908</v>
      </c>
      <c r="Y48">
        <f>SUM(Y38:Y47)</f>
        <v>195</v>
      </c>
    </row>
    <row r="49" spans="25:25" x14ac:dyDescent="0.25">
      <c r="Y49">
        <f>195/908</f>
        <v>0.21475770925110133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workbookViewId="0">
      <pane xSplit="1" topLeftCell="B1" activePane="topRight" state="frozen"/>
      <selection pane="topRight" activeCell="S21" sqref="S21"/>
    </sheetView>
  </sheetViews>
  <sheetFormatPr defaultRowHeight="15" x14ac:dyDescent="0.25"/>
  <cols>
    <col min="1" max="1" width="19.5703125" customWidth="1"/>
    <col min="2" max="2" width="2.140625" style="24" customWidth="1"/>
    <col min="6" max="6" width="9.5703125" bestFit="1" customWidth="1"/>
    <col min="7" max="7" width="2" style="24" customWidth="1"/>
    <col min="11" max="11" width="9.5703125" bestFit="1" customWidth="1"/>
    <col min="12" max="12" width="1.7109375" style="24" customWidth="1"/>
    <col min="16" max="16" width="9.5703125" bestFit="1" customWidth="1"/>
    <col min="18" max="18" width="9.5703125" bestFit="1" customWidth="1"/>
  </cols>
  <sheetData>
    <row r="1" spans="1:18" s="9" customFormat="1" x14ac:dyDescent="0.25">
      <c r="A1" s="9" t="s">
        <v>106</v>
      </c>
      <c r="B1" s="23"/>
      <c r="C1" s="9" t="s">
        <v>23</v>
      </c>
      <c r="G1" s="23"/>
      <c r="H1" s="9" t="s">
        <v>24</v>
      </c>
      <c r="L1" s="23"/>
      <c r="M1" s="9" t="s">
        <v>78</v>
      </c>
    </row>
    <row r="2" spans="1:18" s="9" customFormat="1" x14ac:dyDescent="0.25">
      <c r="B2" s="23"/>
      <c r="C2" s="9" t="s">
        <v>25</v>
      </c>
      <c r="D2" s="9" t="s">
        <v>89</v>
      </c>
      <c r="E2" s="9" t="s">
        <v>90</v>
      </c>
      <c r="F2" s="9" t="s">
        <v>26</v>
      </c>
      <c r="G2" s="23"/>
      <c r="H2" s="9" t="s">
        <v>25</v>
      </c>
      <c r="I2" s="9" t="s">
        <v>89</v>
      </c>
      <c r="J2" s="9" t="s">
        <v>90</v>
      </c>
      <c r="K2" s="9" t="s">
        <v>26</v>
      </c>
      <c r="L2" s="23"/>
      <c r="M2" s="9" t="s">
        <v>80</v>
      </c>
      <c r="N2" s="9" t="s">
        <v>89</v>
      </c>
      <c r="O2" s="9" t="s">
        <v>90</v>
      </c>
      <c r="P2" s="9" t="s">
        <v>26</v>
      </c>
      <c r="R2" s="9" t="s">
        <v>104</v>
      </c>
    </row>
    <row r="3" spans="1:18" x14ac:dyDescent="0.25">
      <c r="A3" s="15" t="s">
        <v>46</v>
      </c>
      <c r="C3">
        <v>17</v>
      </c>
      <c r="D3">
        <v>10</v>
      </c>
      <c r="E3" s="2">
        <f>D3/C3</f>
        <v>0.58823529411764708</v>
      </c>
      <c r="F3" s="10">
        <v>6.4117647058823533</v>
      </c>
      <c r="H3">
        <v>18</v>
      </c>
      <c r="I3">
        <v>7</v>
      </c>
      <c r="J3" s="2">
        <f>I3/H3</f>
        <v>0.3888888888888889</v>
      </c>
      <c r="K3" s="10">
        <v>2.9444444444444446</v>
      </c>
      <c r="M3">
        <f>C3+H3</f>
        <v>35</v>
      </c>
      <c r="N3">
        <f>D3+I3</f>
        <v>17</v>
      </c>
      <c r="O3" s="2">
        <f>N3/M3</f>
        <v>0.48571428571428571</v>
      </c>
      <c r="P3" s="10">
        <f t="shared" ref="P3:P20" si="0">((C3*F3)+(H3*K3))/(C3+H3)</f>
        <v>4.628571428571429</v>
      </c>
      <c r="R3" s="31">
        <f>M3*P3</f>
        <v>162.00000000000003</v>
      </c>
    </row>
    <row r="4" spans="1:18" x14ac:dyDescent="0.25">
      <c r="A4" s="15" t="s">
        <v>44</v>
      </c>
      <c r="C4">
        <v>75</v>
      </c>
      <c r="D4">
        <v>40</v>
      </c>
      <c r="E4" s="2">
        <f t="shared" ref="E4:E20" si="1">D4/C4</f>
        <v>0.53333333333333333</v>
      </c>
      <c r="F4" s="10">
        <v>4.253333333333333</v>
      </c>
      <c r="H4">
        <v>16</v>
      </c>
      <c r="I4">
        <v>4</v>
      </c>
      <c r="J4" s="2">
        <f t="shared" ref="J4:J19" si="2">I4/H4</f>
        <v>0.25</v>
      </c>
      <c r="K4" s="10">
        <v>2.6875</v>
      </c>
      <c r="M4">
        <f t="shared" ref="M4:M20" si="3">C4+H4</f>
        <v>91</v>
      </c>
      <c r="N4">
        <f t="shared" ref="N4:N20" si="4">D4+I4</f>
        <v>44</v>
      </c>
      <c r="O4" s="27">
        <f t="shared" ref="O4:O20" si="5">N4/M4</f>
        <v>0.48351648351648352</v>
      </c>
      <c r="P4" s="10">
        <f t="shared" si="0"/>
        <v>3.9780219780219781</v>
      </c>
      <c r="R4" s="31">
        <f t="shared" ref="R4:R20" si="6">M4*P4</f>
        <v>362</v>
      </c>
    </row>
    <row r="5" spans="1:18" x14ac:dyDescent="0.25">
      <c r="A5" s="15" t="s">
        <v>39</v>
      </c>
      <c r="C5">
        <v>45</v>
      </c>
      <c r="D5">
        <v>18</v>
      </c>
      <c r="E5" s="2">
        <f t="shared" si="1"/>
        <v>0.4</v>
      </c>
      <c r="F5" s="10">
        <v>3.2888888888888888</v>
      </c>
      <c r="H5">
        <v>21</v>
      </c>
      <c r="I5">
        <v>6</v>
      </c>
      <c r="J5" s="2">
        <f t="shared" si="2"/>
        <v>0.2857142857142857</v>
      </c>
      <c r="K5" s="10">
        <v>1.6190476190476191</v>
      </c>
      <c r="M5">
        <f t="shared" si="3"/>
        <v>66</v>
      </c>
      <c r="N5">
        <f t="shared" si="4"/>
        <v>24</v>
      </c>
      <c r="O5" s="27">
        <f t="shared" si="5"/>
        <v>0.36363636363636365</v>
      </c>
      <c r="P5" s="10">
        <f t="shared" si="0"/>
        <v>2.7575757575757578</v>
      </c>
      <c r="R5" s="31">
        <f t="shared" si="6"/>
        <v>182</v>
      </c>
    </row>
    <row r="6" spans="1:18" x14ac:dyDescent="0.25">
      <c r="A6" s="15" t="s">
        <v>9</v>
      </c>
      <c r="C6">
        <f>256-173+1</f>
        <v>84</v>
      </c>
      <c r="D6">
        <v>22</v>
      </c>
      <c r="E6" s="2">
        <f t="shared" si="1"/>
        <v>0.26190476190476192</v>
      </c>
      <c r="F6" s="10">
        <v>2.5</v>
      </c>
      <c r="H6" s="15">
        <v>5</v>
      </c>
      <c r="I6" s="15">
        <v>1</v>
      </c>
      <c r="J6" s="27">
        <f t="shared" si="2"/>
        <v>0.2</v>
      </c>
      <c r="K6" s="22">
        <v>2</v>
      </c>
      <c r="M6">
        <f t="shared" si="3"/>
        <v>89</v>
      </c>
      <c r="N6">
        <f t="shared" si="4"/>
        <v>23</v>
      </c>
      <c r="O6" s="27">
        <f t="shared" si="5"/>
        <v>0.25842696629213485</v>
      </c>
      <c r="P6" s="10">
        <f t="shared" si="0"/>
        <v>2.4719101123595504</v>
      </c>
      <c r="R6" s="31">
        <f t="shared" si="6"/>
        <v>219.99999999999997</v>
      </c>
    </row>
    <row r="7" spans="1:18" x14ac:dyDescent="0.25">
      <c r="A7" s="15" t="s">
        <v>42</v>
      </c>
      <c r="C7">
        <f>1203-1138+1</f>
        <v>66</v>
      </c>
      <c r="D7">
        <v>26</v>
      </c>
      <c r="E7" s="2">
        <f t="shared" si="1"/>
        <v>0.39393939393939392</v>
      </c>
      <c r="F7" s="10">
        <v>2.9393939393939394</v>
      </c>
      <c r="H7" s="15">
        <v>31</v>
      </c>
      <c r="I7" s="15">
        <v>10</v>
      </c>
      <c r="J7" s="27">
        <f t="shared" si="2"/>
        <v>0.32258064516129031</v>
      </c>
      <c r="K7" s="22">
        <v>1.3225806451612903</v>
      </c>
      <c r="M7">
        <f t="shared" si="3"/>
        <v>97</v>
      </c>
      <c r="N7">
        <f t="shared" si="4"/>
        <v>36</v>
      </c>
      <c r="O7" s="27">
        <f t="shared" si="5"/>
        <v>0.37113402061855671</v>
      </c>
      <c r="P7" s="10">
        <f t="shared" si="0"/>
        <v>2.4226804123711339</v>
      </c>
      <c r="R7" s="31">
        <f t="shared" si="6"/>
        <v>234.99999999999997</v>
      </c>
    </row>
    <row r="8" spans="1:18" x14ac:dyDescent="0.25">
      <c r="A8" s="15" t="s">
        <v>47</v>
      </c>
      <c r="C8">
        <f>1875-1668+1</f>
        <v>208</v>
      </c>
      <c r="D8">
        <v>77</v>
      </c>
      <c r="E8" s="2">
        <f t="shared" si="1"/>
        <v>0.37019230769230771</v>
      </c>
      <c r="F8" s="10">
        <v>2.0865384615384617</v>
      </c>
      <c r="H8" s="15">
        <v>50</v>
      </c>
      <c r="I8" s="15">
        <v>13</v>
      </c>
      <c r="J8" s="27">
        <f t="shared" si="2"/>
        <v>0.26</v>
      </c>
      <c r="K8" s="22">
        <v>2.58</v>
      </c>
      <c r="M8">
        <f t="shared" si="3"/>
        <v>258</v>
      </c>
      <c r="N8">
        <f t="shared" si="4"/>
        <v>90</v>
      </c>
      <c r="O8" s="27">
        <f t="shared" si="5"/>
        <v>0.34883720930232559</v>
      </c>
      <c r="P8" s="10">
        <f t="shared" si="0"/>
        <v>2.1821705426356588</v>
      </c>
      <c r="R8" s="31">
        <f t="shared" si="6"/>
        <v>563</v>
      </c>
    </row>
    <row r="9" spans="1:18" x14ac:dyDescent="0.25">
      <c r="A9" s="15" t="s">
        <v>35</v>
      </c>
      <c r="C9">
        <f>628-522+1</f>
        <v>107</v>
      </c>
      <c r="D9">
        <v>48</v>
      </c>
      <c r="E9" s="2">
        <f t="shared" si="1"/>
        <v>0.44859813084112149</v>
      </c>
      <c r="F9" s="10">
        <v>2.4205607476635516</v>
      </c>
      <c r="H9" s="15">
        <f>519-482+1</f>
        <v>38</v>
      </c>
      <c r="I9" s="15">
        <v>12</v>
      </c>
      <c r="J9" s="27">
        <f t="shared" si="2"/>
        <v>0.31578947368421051</v>
      </c>
      <c r="K9" s="22">
        <v>1.0526315789473684</v>
      </c>
      <c r="M9">
        <f t="shared" si="3"/>
        <v>145</v>
      </c>
      <c r="N9">
        <f t="shared" si="4"/>
        <v>60</v>
      </c>
      <c r="O9" s="27">
        <f t="shared" si="5"/>
        <v>0.41379310344827586</v>
      </c>
      <c r="P9" s="10">
        <f t="shared" si="0"/>
        <v>2.0620689655172413</v>
      </c>
      <c r="R9" s="31">
        <f t="shared" si="6"/>
        <v>299</v>
      </c>
    </row>
    <row r="10" spans="1:18" x14ac:dyDescent="0.25">
      <c r="A10" s="15" t="s">
        <v>11</v>
      </c>
      <c r="C10">
        <v>12</v>
      </c>
      <c r="D10">
        <v>4</v>
      </c>
      <c r="E10" s="2">
        <f t="shared" si="1"/>
        <v>0.33333333333333331</v>
      </c>
      <c r="F10" s="10">
        <v>2</v>
      </c>
      <c r="H10" s="15">
        <v>0</v>
      </c>
      <c r="I10" s="15">
        <v>0</v>
      </c>
      <c r="J10" s="27"/>
      <c r="K10" s="22"/>
      <c r="M10">
        <f t="shared" si="3"/>
        <v>12</v>
      </c>
      <c r="N10">
        <f t="shared" si="4"/>
        <v>4</v>
      </c>
      <c r="O10" s="27">
        <f t="shared" si="5"/>
        <v>0.33333333333333331</v>
      </c>
      <c r="P10" s="10">
        <f t="shared" si="0"/>
        <v>2</v>
      </c>
      <c r="R10" s="31">
        <f t="shared" si="6"/>
        <v>24</v>
      </c>
    </row>
    <row r="11" spans="1:18" x14ac:dyDescent="0.25">
      <c r="A11" s="15" t="s">
        <v>36</v>
      </c>
      <c r="C11">
        <f>734-676+1</f>
        <v>59</v>
      </c>
      <c r="D11">
        <v>27</v>
      </c>
      <c r="E11" s="2">
        <f t="shared" si="1"/>
        <v>0.4576271186440678</v>
      </c>
      <c r="F11" s="10">
        <v>2.5254237288135593</v>
      </c>
      <c r="H11" s="15">
        <f>673-632+1</f>
        <v>42</v>
      </c>
      <c r="I11" s="15">
        <v>12</v>
      </c>
      <c r="J11" s="27">
        <f t="shared" si="2"/>
        <v>0.2857142857142857</v>
      </c>
      <c r="K11" s="28">
        <v>0.9285714285714286</v>
      </c>
      <c r="M11">
        <f t="shared" si="3"/>
        <v>101</v>
      </c>
      <c r="N11">
        <f t="shared" si="4"/>
        <v>39</v>
      </c>
      <c r="O11" s="27">
        <f t="shared" si="5"/>
        <v>0.38613861386138615</v>
      </c>
      <c r="P11" s="10">
        <f t="shared" si="0"/>
        <v>1.8613861386138615</v>
      </c>
      <c r="R11" s="31">
        <f t="shared" si="6"/>
        <v>188</v>
      </c>
    </row>
    <row r="12" spans="1:18" x14ac:dyDescent="0.25">
      <c r="A12" s="15" t="s">
        <v>8</v>
      </c>
      <c r="C12">
        <v>103</v>
      </c>
      <c r="D12">
        <v>42</v>
      </c>
      <c r="E12" s="2">
        <f t="shared" si="1"/>
        <v>0.40776699029126212</v>
      </c>
      <c r="F12" s="10">
        <v>1.8932038834951457</v>
      </c>
      <c r="H12" s="15">
        <v>41</v>
      </c>
      <c r="I12" s="15">
        <v>9</v>
      </c>
      <c r="J12" s="27">
        <f t="shared" si="2"/>
        <v>0.21951219512195122</v>
      </c>
      <c r="K12" s="22">
        <v>1.1219512195121952</v>
      </c>
      <c r="M12">
        <f t="shared" si="3"/>
        <v>144</v>
      </c>
      <c r="N12">
        <f t="shared" si="4"/>
        <v>51</v>
      </c>
      <c r="O12" s="27">
        <f t="shared" si="5"/>
        <v>0.35416666666666669</v>
      </c>
      <c r="P12" s="10">
        <f t="shared" si="0"/>
        <v>1.6736111111111112</v>
      </c>
      <c r="R12" s="31">
        <f t="shared" si="6"/>
        <v>241</v>
      </c>
    </row>
    <row r="13" spans="1:18" x14ac:dyDescent="0.25">
      <c r="A13" s="15" t="s">
        <v>38</v>
      </c>
      <c r="C13">
        <f>914-775+1</f>
        <v>140</v>
      </c>
      <c r="D13">
        <v>41</v>
      </c>
      <c r="E13" s="2">
        <f t="shared" si="1"/>
        <v>0.29285714285714287</v>
      </c>
      <c r="F13" s="10">
        <v>0.98571428571428577</v>
      </c>
      <c r="H13" s="15">
        <v>4</v>
      </c>
      <c r="I13" s="15">
        <v>2</v>
      </c>
      <c r="J13" s="27">
        <f t="shared" si="2"/>
        <v>0.5</v>
      </c>
      <c r="K13" s="22">
        <v>2.25</v>
      </c>
      <c r="M13">
        <f t="shared" si="3"/>
        <v>144</v>
      </c>
      <c r="N13">
        <f t="shared" si="4"/>
        <v>43</v>
      </c>
      <c r="O13" s="2">
        <f t="shared" si="5"/>
        <v>0.2986111111111111</v>
      </c>
      <c r="P13" s="10">
        <f t="shared" si="0"/>
        <v>1.0208333333333333</v>
      </c>
      <c r="R13" s="31">
        <f t="shared" si="6"/>
        <v>147</v>
      </c>
    </row>
    <row r="14" spans="1:18" x14ac:dyDescent="0.25">
      <c r="A14" t="s">
        <v>45</v>
      </c>
      <c r="C14">
        <v>199</v>
      </c>
      <c r="D14">
        <v>37</v>
      </c>
      <c r="E14" s="2">
        <f t="shared" si="1"/>
        <v>0.18592964824120603</v>
      </c>
      <c r="F14" s="10">
        <v>0.83417085427135673</v>
      </c>
      <c r="H14" s="15">
        <v>43</v>
      </c>
      <c r="I14" s="15">
        <v>13</v>
      </c>
      <c r="J14" s="27">
        <f t="shared" si="2"/>
        <v>0.30232558139534882</v>
      </c>
      <c r="K14" s="22">
        <v>1.3953488372093024</v>
      </c>
      <c r="M14">
        <f t="shared" si="3"/>
        <v>242</v>
      </c>
      <c r="N14">
        <f t="shared" si="4"/>
        <v>50</v>
      </c>
      <c r="O14" s="2">
        <f t="shared" si="5"/>
        <v>0.20661157024793389</v>
      </c>
      <c r="P14" s="10">
        <f t="shared" si="0"/>
        <v>0.93388429752066116</v>
      </c>
      <c r="R14" s="31">
        <f t="shared" si="6"/>
        <v>226</v>
      </c>
    </row>
    <row r="15" spans="1:18" x14ac:dyDescent="0.25">
      <c r="A15" t="s">
        <v>12</v>
      </c>
      <c r="C15">
        <f>478-411+1</f>
        <v>68</v>
      </c>
      <c r="D15">
        <v>15</v>
      </c>
      <c r="E15" s="2">
        <f t="shared" si="1"/>
        <v>0.22058823529411764</v>
      </c>
      <c r="F15" s="10">
        <v>0.82352999999999998</v>
      </c>
      <c r="H15" s="15">
        <v>11</v>
      </c>
      <c r="I15" s="15">
        <v>2</v>
      </c>
      <c r="J15" s="27">
        <f t="shared" si="2"/>
        <v>0.18181818181818182</v>
      </c>
      <c r="K15" s="22">
        <v>0.90908999999999995</v>
      </c>
      <c r="M15">
        <f t="shared" si="3"/>
        <v>79</v>
      </c>
      <c r="N15">
        <f t="shared" si="4"/>
        <v>17</v>
      </c>
      <c r="O15" s="2">
        <f t="shared" si="5"/>
        <v>0.21518987341772153</v>
      </c>
      <c r="P15" s="10">
        <f t="shared" si="0"/>
        <v>0.83544341772151898</v>
      </c>
      <c r="R15" s="31">
        <f t="shared" si="6"/>
        <v>66.000029999999995</v>
      </c>
    </row>
    <row r="16" spans="1:18" x14ac:dyDescent="0.25">
      <c r="A16" t="s">
        <v>58</v>
      </c>
      <c r="C16">
        <v>28</v>
      </c>
      <c r="D16">
        <v>6</v>
      </c>
      <c r="E16" s="2">
        <f t="shared" si="1"/>
        <v>0.21428571428571427</v>
      </c>
      <c r="F16" s="21">
        <v>0.42857142857142855</v>
      </c>
      <c r="H16" s="15">
        <v>0</v>
      </c>
      <c r="I16" s="15">
        <v>0</v>
      </c>
      <c r="J16" s="27"/>
      <c r="K16" s="22"/>
      <c r="M16">
        <f t="shared" si="3"/>
        <v>28</v>
      </c>
      <c r="N16">
        <f t="shared" si="4"/>
        <v>6</v>
      </c>
      <c r="O16" s="2">
        <f t="shared" si="5"/>
        <v>0.21428571428571427</v>
      </c>
      <c r="P16" s="10">
        <f t="shared" si="0"/>
        <v>0.42857142857142855</v>
      </c>
      <c r="R16" s="31">
        <f t="shared" si="6"/>
        <v>12</v>
      </c>
    </row>
    <row r="17" spans="1:19" x14ac:dyDescent="0.25">
      <c r="A17" t="s">
        <v>10</v>
      </c>
      <c r="C17">
        <f>379-281+1</f>
        <v>99</v>
      </c>
      <c r="D17">
        <v>16</v>
      </c>
      <c r="E17" s="2">
        <f t="shared" si="1"/>
        <v>0.16161616161616163</v>
      </c>
      <c r="F17" s="10">
        <v>0.39394000000000001</v>
      </c>
      <c r="H17" s="15">
        <v>15</v>
      </c>
      <c r="I17" s="15">
        <v>1</v>
      </c>
      <c r="J17" s="27">
        <f t="shared" si="2"/>
        <v>6.6666666666666666E-2</v>
      </c>
      <c r="K17" s="22">
        <v>0.26667000000000002</v>
      </c>
      <c r="M17">
        <f t="shared" si="3"/>
        <v>114</v>
      </c>
      <c r="N17">
        <f t="shared" si="4"/>
        <v>17</v>
      </c>
      <c r="O17" s="2">
        <f t="shared" si="5"/>
        <v>0.14912280701754385</v>
      </c>
      <c r="P17" s="10">
        <f t="shared" si="0"/>
        <v>0.37719394736842105</v>
      </c>
      <c r="R17" s="31">
        <f t="shared" si="6"/>
        <v>43.000109999999999</v>
      </c>
    </row>
    <row r="18" spans="1:19" x14ac:dyDescent="0.25">
      <c r="A18" t="s">
        <v>41</v>
      </c>
      <c r="C18">
        <v>98</v>
      </c>
      <c r="D18">
        <v>7</v>
      </c>
      <c r="E18" s="2">
        <f t="shared" si="1"/>
        <v>7.1428571428571425E-2</v>
      </c>
      <c r="F18" s="10">
        <v>0.19387755102040816</v>
      </c>
      <c r="H18" s="15">
        <v>13</v>
      </c>
      <c r="I18" s="15">
        <v>1</v>
      </c>
      <c r="J18" s="27">
        <f t="shared" si="2"/>
        <v>7.6923076923076927E-2</v>
      </c>
      <c r="K18" s="22">
        <v>0.61538461538461542</v>
      </c>
      <c r="M18">
        <f t="shared" si="3"/>
        <v>111</v>
      </c>
      <c r="N18">
        <f t="shared" si="4"/>
        <v>8</v>
      </c>
      <c r="O18" s="2">
        <f t="shared" si="5"/>
        <v>7.2072072072072071E-2</v>
      </c>
      <c r="P18" s="10">
        <f t="shared" si="0"/>
        <v>0.24324324324324326</v>
      </c>
      <c r="R18" s="31">
        <f t="shared" si="6"/>
        <v>27</v>
      </c>
    </row>
    <row r="19" spans="1:19" x14ac:dyDescent="0.25">
      <c r="A19" t="s">
        <v>48</v>
      </c>
      <c r="C19">
        <f>1970-1884+1</f>
        <v>87</v>
      </c>
      <c r="D19">
        <v>8</v>
      </c>
      <c r="E19" s="2">
        <f t="shared" si="1"/>
        <v>9.1954022988505746E-2</v>
      </c>
      <c r="F19" s="10">
        <v>0.12643678160919541</v>
      </c>
      <c r="H19" s="15">
        <v>5</v>
      </c>
      <c r="I19" s="15">
        <v>0</v>
      </c>
      <c r="J19" s="27">
        <f t="shared" si="2"/>
        <v>0</v>
      </c>
      <c r="K19" s="22">
        <v>0</v>
      </c>
      <c r="M19">
        <f t="shared" si="3"/>
        <v>92</v>
      </c>
      <c r="N19">
        <f t="shared" si="4"/>
        <v>8</v>
      </c>
      <c r="O19" s="2">
        <f t="shared" si="5"/>
        <v>8.6956521739130432E-2</v>
      </c>
      <c r="P19" s="10">
        <f t="shared" si="0"/>
        <v>0.11956521739130437</v>
      </c>
      <c r="R19" s="31">
        <f t="shared" si="6"/>
        <v>11.000000000000002</v>
      </c>
    </row>
    <row r="20" spans="1:19" x14ac:dyDescent="0.25">
      <c r="A20" t="s">
        <v>37</v>
      </c>
      <c r="C20">
        <v>28</v>
      </c>
      <c r="D20">
        <v>0</v>
      </c>
      <c r="E20" s="2">
        <f t="shared" si="1"/>
        <v>0</v>
      </c>
      <c r="F20" s="10">
        <v>0</v>
      </c>
      <c r="H20" s="15">
        <v>0</v>
      </c>
      <c r="I20" s="15">
        <v>0</v>
      </c>
      <c r="J20" s="27"/>
      <c r="K20" s="22"/>
      <c r="M20">
        <f t="shared" si="3"/>
        <v>28</v>
      </c>
      <c r="N20">
        <f t="shared" si="4"/>
        <v>0</v>
      </c>
      <c r="O20" s="2">
        <f t="shared" si="5"/>
        <v>0</v>
      </c>
      <c r="P20" s="10">
        <f t="shared" si="0"/>
        <v>0</v>
      </c>
      <c r="R20" s="31">
        <f t="shared" si="6"/>
        <v>0</v>
      </c>
    </row>
    <row r="21" spans="1:19" x14ac:dyDescent="0.25">
      <c r="F21" s="13"/>
      <c r="O21" s="2"/>
      <c r="P21" s="10"/>
      <c r="R21">
        <f>SUM(R3:R20)</f>
        <v>3008.0001400000001</v>
      </c>
      <c r="S21" t="s">
        <v>105</v>
      </c>
    </row>
    <row r="22" spans="1:19" x14ac:dyDescent="0.25">
      <c r="P22" s="10"/>
    </row>
    <row r="23" spans="1:19" x14ac:dyDescent="0.25">
      <c r="A23" s="9" t="s">
        <v>109</v>
      </c>
      <c r="P23" s="10"/>
      <c r="R23" s="9" t="s">
        <v>79</v>
      </c>
    </row>
    <row r="24" spans="1:19" x14ac:dyDescent="0.25">
      <c r="A24" t="s">
        <v>13</v>
      </c>
      <c r="C24">
        <v>21</v>
      </c>
      <c r="F24" s="10">
        <v>1</v>
      </c>
      <c r="H24" s="15">
        <v>8</v>
      </c>
      <c r="I24" s="15"/>
      <c r="J24" s="15"/>
      <c r="K24" s="22">
        <v>0.25</v>
      </c>
      <c r="M24">
        <f>C24+H24</f>
        <v>29</v>
      </c>
      <c r="P24" s="10">
        <f>((C24*F24)+(H24*K24))/(C24+H24)</f>
        <v>0.7931034482758621</v>
      </c>
    </row>
    <row r="25" spans="1:19" x14ac:dyDescent="0.25">
      <c r="A25" t="s">
        <v>14</v>
      </c>
      <c r="C25">
        <v>82</v>
      </c>
      <c r="F25" s="10">
        <v>2.12195</v>
      </c>
      <c r="H25" s="15">
        <v>33</v>
      </c>
      <c r="I25" s="15"/>
      <c r="J25" s="15"/>
      <c r="K25" s="22">
        <v>1.3333299999999999</v>
      </c>
      <c r="M25">
        <f>C25+H25</f>
        <v>115</v>
      </c>
      <c r="P25" s="10">
        <f>((C25*F25)+(H25*K25))/(C25+H25)</f>
        <v>1.8956503478260869</v>
      </c>
      <c r="R25" s="10">
        <f>P25/P24</f>
        <v>2.3901678298676745</v>
      </c>
    </row>
    <row r="26" spans="1:19" x14ac:dyDescent="0.25">
      <c r="F26" s="10"/>
      <c r="H26" s="15"/>
      <c r="I26" s="15"/>
      <c r="J26" s="15"/>
      <c r="K26" s="22"/>
      <c r="P26" s="10"/>
      <c r="R26" s="10"/>
    </row>
    <row r="27" spans="1:19" x14ac:dyDescent="0.25">
      <c r="A27" t="s">
        <v>15</v>
      </c>
      <c r="C27">
        <f>898-775+1</f>
        <v>124</v>
      </c>
      <c r="F27" s="10">
        <v>0.89516129032258063</v>
      </c>
      <c r="H27" s="15">
        <v>4</v>
      </c>
      <c r="I27" s="15"/>
      <c r="J27" s="15"/>
      <c r="K27" s="22">
        <v>2.25</v>
      </c>
      <c r="M27">
        <f>C27+H27</f>
        <v>128</v>
      </c>
      <c r="P27" s="10">
        <f>((C27*F27)+(H27*K27))/(C27+H27)</f>
        <v>0.9375</v>
      </c>
      <c r="R27" s="10"/>
    </row>
    <row r="28" spans="1:19" x14ac:dyDescent="0.25">
      <c r="A28" t="s">
        <v>16</v>
      </c>
      <c r="C28">
        <v>16</v>
      </c>
      <c r="F28" s="10">
        <v>1.6875</v>
      </c>
      <c r="H28" s="15">
        <v>0</v>
      </c>
      <c r="I28" s="15"/>
      <c r="J28" s="15"/>
      <c r="K28" s="22"/>
      <c r="M28">
        <f>C28+H28</f>
        <v>16</v>
      </c>
      <c r="P28" s="10">
        <f>((C28*F28)+(H28*K28))/(C28+H28)</f>
        <v>1.6875</v>
      </c>
      <c r="R28" s="10">
        <f>P28/P27</f>
        <v>1.8</v>
      </c>
    </row>
    <row r="29" spans="1:19" x14ac:dyDescent="0.25">
      <c r="F29" s="10"/>
      <c r="H29" s="15"/>
      <c r="I29" s="15"/>
      <c r="J29" s="15"/>
      <c r="K29" s="22"/>
      <c r="P29" s="10"/>
      <c r="R29" s="10"/>
    </row>
    <row r="30" spans="1:19" x14ac:dyDescent="0.25">
      <c r="A30" t="s">
        <v>17</v>
      </c>
      <c r="C30">
        <v>14</v>
      </c>
      <c r="F30" s="10">
        <v>1</v>
      </c>
      <c r="H30" s="15">
        <v>3</v>
      </c>
      <c r="I30" s="15"/>
      <c r="J30" s="15"/>
      <c r="K30" s="22">
        <v>0.33333333333333331</v>
      </c>
      <c r="M30">
        <f>C30+H30</f>
        <v>17</v>
      </c>
      <c r="P30" s="10">
        <f>((C30*F30)+(H30*K30))/(C30+H30)</f>
        <v>0.88235294117647056</v>
      </c>
      <c r="R30" s="10"/>
    </row>
    <row r="31" spans="1:19" x14ac:dyDescent="0.25">
      <c r="A31" t="s">
        <v>18</v>
      </c>
      <c r="C31">
        <f>1322-1262+1</f>
        <v>61</v>
      </c>
      <c r="F31" s="10">
        <v>5</v>
      </c>
      <c r="H31">
        <v>13</v>
      </c>
      <c r="K31" s="10">
        <v>3.2307692307692308</v>
      </c>
      <c r="M31">
        <f>C31+H31</f>
        <v>74</v>
      </c>
      <c r="P31" s="10">
        <f>((C31*F31)+(H31*K31))/(C31+H31)</f>
        <v>4.6891891891891895</v>
      </c>
      <c r="R31" s="10">
        <f>P31/P30</f>
        <v>5.314414414414415</v>
      </c>
    </row>
    <row r="32" spans="1:19" x14ac:dyDescent="0.25">
      <c r="F32" s="10"/>
      <c r="K32" s="10"/>
      <c r="P32" s="10"/>
      <c r="R32" s="10"/>
    </row>
    <row r="33" spans="1:21" x14ac:dyDescent="0.25">
      <c r="A33" t="s">
        <v>19</v>
      </c>
      <c r="C33">
        <v>127</v>
      </c>
      <c r="F33" s="22">
        <v>0.55905511811023623</v>
      </c>
      <c r="H33" s="15">
        <v>7</v>
      </c>
      <c r="I33" s="15"/>
      <c r="J33" s="15"/>
      <c r="K33" s="22">
        <v>0.2857142857142857</v>
      </c>
      <c r="M33">
        <f>C33+H33</f>
        <v>134</v>
      </c>
      <c r="P33" s="10">
        <f>((C33*F33)+(H33*K33))/(C33+H33)</f>
        <v>0.54477611940298509</v>
      </c>
      <c r="R33" s="10"/>
    </row>
    <row r="34" spans="1:21" x14ac:dyDescent="0.25">
      <c r="A34" t="s">
        <v>20</v>
      </c>
      <c r="C34">
        <f>1568-1497+1</f>
        <v>72</v>
      </c>
      <c r="F34" s="10">
        <v>1.3194444444444444</v>
      </c>
      <c r="H34">
        <f>1367-1332+1</f>
        <v>36</v>
      </c>
      <c r="K34" s="10">
        <v>1.6111111111111112</v>
      </c>
      <c r="M34">
        <f>C34+H34</f>
        <v>108</v>
      </c>
      <c r="P34" s="10">
        <f>((C34*F34)+(H34*K34))/(C34+H34)</f>
        <v>1.4166666666666667</v>
      </c>
      <c r="R34" s="22">
        <f>P34/P33</f>
        <v>2.6004566210045663</v>
      </c>
      <c r="S34" s="15"/>
      <c r="T34" s="15"/>
      <c r="U34" s="15"/>
    </row>
    <row r="35" spans="1:21" x14ac:dyDescent="0.25">
      <c r="F35" s="10"/>
      <c r="K35" s="10"/>
      <c r="P35" s="10"/>
      <c r="R35" s="10"/>
    </row>
    <row r="36" spans="1:21" x14ac:dyDescent="0.25">
      <c r="A36" t="s">
        <v>21</v>
      </c>
      <c r="C36">
        <f>1748-1631+1</f>
        <v>118</v>
      </c>
      <c r="F36" s="10">
        <v>1.076271186440678</v>
      </c>
      <c r="H36" s="15">
        <v>19</v>
      </c>
      <c r="K36" s="22">
        <v>3.8947368421052633</v>
      </c>
      <c r="M36">
        <f>C36+H36</f>
        <v>137</v>
      </c>
      <c r="P36" s="10">
        <f>((C36*F36)+(H36*K36))/(C36+H36)</f>
        <v>1.4671532846715329</v>
      </c>
      <c r="R36" s="10"/>
    </row>
    <row r="37" spans="1:21" x14ac:dyDescent="0.25">
      <c r="A37" t="s">
        <v>22</v>
      </c>
      <c r="C37">
        <f>1873-1784+1</f>
        <v>90</v>
      </c>
      <c r="F37" s="10">
        <v>3.411111111111111</v>
      </c>
      <c r="H37">
        <v>31</v>
      </c>
      <c r="K37" s="10">
        <v>1.7741935483870968</v>
      </c>
      <c r="M37">
        <f>C37+H37</f>
        <v>121</v>
      </c>
      <c r="P37" s="10">
        <f>((C37*F37)+(H37*K37))/(C37+H37)</f>
        <v>2.9917355371900825</v>
      </c>
      <c r="R37" s="22">
        <f>P37/P36</f>
        <v>2.0391431273385137</v>
      </c>
      <c r="S37" s="15"/>
      <c r="T37" s="15"/>
      <c r="U37" s="15"/>
    </row>
    <row r="38" spans="1:21" x14ac:dyDescent="0.25">
      <c r="F38" s="10"/>
      <c r="K38" s="10"/>
      <c r="P38" s="10"/>
      <c r="R38" s="22"/>
      <c r="S38" s="15"/>
      <c r="T38" s="15"/>
      <c r="U38" s="15"/>
    </row>
    <row r="39" spans="1:21" x14ac:dyDescent="0.25">
      <c r="F39" s="10"/>
      <c r="K39" s="10"/>
      <c r="P39" s="10"/>
      <c r="R39" s="22"/>
      <c r="S39" s="15"/>
      <c r="T39" s="15"/>
      <c r="U39" s="15"/>
    </row>
    <row r="41" spans="1:21" x14ac:dyDescent="0.25">
      <c r="A41" s="9" t="s">
        <v>107</v>
      </c>
    </row>
    <row r="42" spans="1:21" x14ac:dyDescent="0.25">
      <c r="A42" t="s">
        <v>40</v>
      </c>
    </row>
    <row r="43" spans="1:21" x14ac:dyDescent="0.25">
      <c r="A43" t="s">
        <v>71</v>
      </c>
    </row>
    <row r="44" spans="1:21" x14ac:dyDescent="0.25">
      <c r="A44" t="s">
        <v>72</v>
      </c>
    </row>
    <row r="49" spans="1:19" x14ac:dyDescent="0.25">
      <c r="A49" s="9" t="s">
        <v>27</v>
      </c>
    </row>
    <row r="50" spans="1:19" s="16" customFormat="1" x14ac:dyDescent="0.25">
      <c r="A50" s="16" t="s">
        <v>28</v>
      </c>
      <c r="B50" s="25" t="s">
        <v>29</v>
      </c>
      <c r="C50" s="17">
        <v>15402</v>
      </c>
      <c r="D50" s="17"/>
      <c r="E50" s="17"/>
      <c r="G50" s="25"/>
      <c r="L50" s="25"/>
      <c r="M50" s="16" t="s">
        <v>30</v>
      </c>
      <c r="P50" s="16" t="s">
        <v>31</v>
      </c>
      <c r="Q50" s="16">
        <v>13</v>
      </c>
      <c r="R50" s="16">
        <v>0</v>
      </c>
      <c r="S50" s="16">
        <v>0</v>
      </c>
    </row>
    <row r="51" spans="1:19" s="15" customFormat="1" x14ac:dyDescent="0.25">
      <c r="A51" s="16" t="s">
        <v>32</v>
      </c>
      <c r="B51" s="25" t="s">
        <v>33</v>
      </c>
      <c r="C51" s="18">
        <v>16781</v>
      </c>
      <c r="D51" s="18"/>
      <c r="E51" s="18"/>
      <c r="G51" s="24"/>
      <c r="L51" s="24"/>
      <c r="M51" s="16" t="s">
        <v>30</v>
      </c>
      <c r="N51" s="16"/>
      <c r="O51" s="16"/>
      <c r="P51" s="16" t="s">
        <v>34</v>
      </c>
      <c r="Q51" s="15">
        <v>19</v>
      </c>
      <c r="R51" s="15">
        <v>2</v>
      </c>
      <c r="S51" s="15">
        <v>10</v>
      </c>
    </row>
    <row r="52" spans="1:19" s="15" customFormat="1" x14ac:dyDescent="0.25">
      <c r="A52" s="15" t="s">
        <v>43</v>
      </c>
      <c r="B52" s="24"/>
      <c r="G52" s="24"/>
      <c r="L52" s="24"/>
    </row>
    <row r="53" spans="1:19" s="15" customFormat="1" ht="15.75" x14ac:dyDescent="0.25">
      <c r="A53" s="19" t="s">
        <v>49</v>
      </c>
      <c r="B53" s="25" t="s">
        <v>50</v>
      </c>
      <c r="C53" s="17">
        <v>10964</v>
      </c>
      <c r="D53" s="17"/>
      <c r="E53" s="17"/>
      <c r="F53" s="16" t="s">
        <v>51</v>
      </c>
      <c r="G53" s="25" t="s">
        <v>52</v>
      </c>
      <c r="H53" s="16"/>
      <c r="I53" s="16"/>
      <c r="J53" s="16"/>
      <c r="K53" s="16"/>
      <c r="L53" s="25"/>
      <c r="M53" s="16" t="s">
        <v>23</v>
      </c>
      <c r="N53" s="16"/>
      <c r="O53" s="16"/>
      <c r="P53" s="16" t="s">
        <v>53</v>
      </c>
      <c r="Q53" s="16">
        <v>18</v>
      </c>
      <c r="R53" s="16">
        <v>1</v>
      </c>
      <c r="S53" s="16">
        <v>3</v>
      </c>
    </row>
    <row r="54" spans="1:19" s="15" customFormat="1" ht="15.75" x14ac:dyDescent="0.25">
      <c r="A54" s="19" t="s">
        <v>54</v>
      </c>
      <c r="B54" s="25" t="s">
        <v>55</v>
      </c>
      <c r="C54" s="17">
        <v>10964</v>
      </c>
      <c r="D54" s="17"/>
      <c r="E54" s="17"/>
      <c r="F54" s="16" t="s">
        <v>56</v>
      </c>
      <c r="G54" s="25" t="s">
        <v>57</v>
      </c>
      <c r="H54" s="16"/>
      <c r="I54" s="16"/>
      <c r="J54" s="16"/>
      <c r="K54" s="16"/>
      <c r="L54" s="25"/>
      <c r="M54" s="16" t="s">
        <v>23</v>
      </c>
      <c r="N54" s="16"/>
      <c r="O54" s="16"/>
      <c r="P54" s="16" t="s">
        <v>53</v>
      </c>
      <c r="Q54" s="16">
        <v>17</v>
      </c>
      <c r="R54" s="16">
        <v>0</v>
      </c>
      <c r="S54" s="16">
        <v>0</v>
      </c>
    </row>
    <row r="55" spans="1:19" s="14" customFormat="1" ht="15.75" x14ac:dyDescent="0.25">
      <c r="A55" s="14" t="s">
        <v>59</v>
      </c>
      <c r="B55" s="26" t="s">
        <v>60</v>
      </c>
      <c r="C55" s="20">
        <v>11342</v>
      </c>
      <c r="D55" s="20"/>
      <c r="E55" s="20"/>
      <c r="F55" s="14" t="s">
        <v>61</v>
      </c>
      <c r="G55" s="26" t="s">
        <v>62</v>
      </c>
      <c r="L55" s="26"/>
      <c r="M55" s="14" t="s">
        <v>63</v>
      </c>
      <c r="Q55" s="14">
        <v>1</v>
      </c>
      <c r="R55" s="14">
        <v>0</v>
      </c>
      <c r="S55" s="14">
        <v>0</v>
      </c>
    </row>
    <row r="56" spans="1:19" s="15" customFormat="1" x14ac:dyDescent="0.25">
      <c r="A56" s="16" t="s">
        <v>64</v>
      </c>
      <c r="B56" s="25" t="s">
        <v>65</v>
      </c>
      <c r="C56" s="17">
        <v>13099</v>
      </c>
      <c r="D56" s="17"/>
      <c r="E56" s="17"/>
      <c r="F56" s="16" t="s">
        <v>66</v>
      </c>
      <c r="G56" s="25" t="s">
        <v>67</v>
      </c>
      <c r="H56" s="16" t="s">
        <v>68</v>
      </c>
      <c r="I56" s="16"/>
      <c r="J56" s="16"/>
      <c r="K56" s="16" t="s">
        <v>69</v>
      </c>
      <c r="L56" s="25" t="s">
        <v>70</v>
      </c>
      <c r="M56" s="16" t="s">
        <v>23</v>
      </c>
      <c r="N56" s="16"/>
      <c r="O56" s="16"/>
      <c r="P56" s="16" t="s">
        <v>81</v>
      </c>
      <c r="Q56" s="16">
        <v>13</v>
      </c>
      <c r="R56" s="16">
        <v>0</v>
      </c>
      <c r="S56" s="16">
        <v>0</v>
      </c>
    </row>
    <row r="57" spans="1:19" s="15" customFormat="1" x14ac:dyDescent="0.25">
      <c r="A57" s="16" t="s">
        <v>73</v>
      </c>
      <c r="B57" s="25" t="s">
        <v>74</v>
      </c>
      <c r="C57" s="17">
        <v>11013</v>
      </c>
      <c r="D57" s="17"/>
      <c r="E57" s="17"/>
      <c r="F57" s="16" t="s">
        <v>75</v>
      </c>
      <c r="G57" s="25" t="s">
        <v>76</v>
      </c>
      <c r="H57" s="16"/>
      <c r="I57" s="16"/>
      <c r="J57" s="16"/>
      <c r="K57" s="16"/>
      <c r="L57" s="25"/>
      <c r="M57" s="16" t="s">
        <v>23</v>
      </c>
      <c r="N57" s="16"/>
      <c r="O57" s="16"/>
      <c r="P57" s="16" t="s">
        <v>77</v>
      </c>
      <c r="Q57" s="16">
        <v>17</v>
      </c>
      <c r="R57" s="16">
        <v>0</v>
      </c>
      <c r="S57" s="16">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7</vt:i4>
      </vt:variant>
    </vt:vector>
  </HeadingPairs>
  <TitlesOfParts>
    <vt:vector size="10" baseType="lpstr">
      <vt:lpstr>Sheet1</vt:lpstr>
      <vt:lpstr>Sheet2</vt:lpstr>
      <vt:lpstr>Sheet3</vt:lpstr>
      <vt:lpstr>Chart1</vt:lpstr>
      <vt:lpstr>Chart2</vt:lpstr>
      <vt:lpstr>Chart3</vt:lpstr>
      <vt:lpstr>Chart4</vt:lpstr>
      <vt:lpstr>Chart5</vt:lpstr>
      <vt:lpstr>Chart6</vt:lpstr>
      <vt:lpstr>Chart7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2013-08-01T18:24:53Z</dcterms:modified>
</cp:coreProperties>
</file>